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0700" windowHeight="11760"/>
  </bookViews>
  <sheets>
    <sheet name="GareContrattiAppaltiEconomie_23" sheetId="1" r:id="rId1"/>
  </sheets>
  <definedNames>
    <definedName name="_xlnm._FilterDatabase" localSheetId="0" hidden="1">GareContrattiAppaltiEconomie_23!$A$1:$AK$3372</definedName>
  </definedNames>
  <calcPr calcId="125725"/>
</workbook>
</file>

<file path=xl/calcChain.xml><?xml version="1.0" encoding="utf-8"?>
<calcChain xmlns="http://schemas.openxmlformats.org/spreadsheetml/2006/main">
  <c r="G2" i="1"/>
  <c r="B2"/>
  <c r="G562"/>
  <c r="B562"/>
  <c r="A562"/>
  <c r="G561"/>
  <c r="B561"/>
  <c r="A561"/>
  <c r="G560"/>
  <c r="B560"/>
  <c r="A560"/>
  <c r="G559"/>
  <c r="B559"/>
  <c r="A559"/>
  <c r="A2"/>
  <c r="G108"/>
  <c r="A3"/>
  <c r="B3"/>
  <c r="G3"/>
  <c r="A4"/>
  <c r="B4"/>
  <c r="G4"/>
  <c r="A5"/>
  <c r="B5"/>
  <c r="G5"/>
  <c r="A6"/>
  <c r="B6"/>
  <c r="A7"/>
  <c r="B7"/>
  <c r="G7"/>
  <c r="A8"/>
  <c r="B8"/>
  <c r="G8"/>
  <c r="A9"/>
  <c r="B9"/>
  <c r="G9"/>
  <c r="A10"/>
  <c r="B10"/>
  <c r="G10"/>
  <c r="A11"/>
  <c r="B11"/>
  <c r="G11"/>
  <c r="A12"/>
  <c r="B12"/>
  <c r="G12"/>
  <c r="A13"/>
  <c r="B13"/>
  <c r="G13"/>
  <c r="A14"/>
  <c r="B14"/>
  <c r="G14"/>
  <c r="A15"/>
  <c r="B15"/>
  <c r="G15"/>
  <c r="A16"/>
  <c r="B16"/>
  <c r="G16"/>
  <c r="A17"/>
  <c r="B17"/>
  <c r="G17"/>
  <c r="A18"/>
  <c r="B18"/>
  <c r="G18"/>
  <c r="A19"/>
  <c r="B19"/>
  <c r="G19"/>
  <c r="A20"/>
  <c r="B20"/>
  <c r="G20"/>
  <c r="A21"/>
  <c r="B21"/>
  <c r="A22"/>
  <c r="B22"/>
  <c r="G22"/>
  <c r="A23"/>
  <c r="B23"/>
  <c r="G23"/>
  <c r="A24"/>
  <c r="B24"/>
  <c r="G24"/>
  <c r="A25"/>
  <c r="B25"/>
  <c r="G25"/>
  <c r="A26"/>
  <c r="B26"/>
  <c r="G26"/>
  <c r="A27"/>
  <c r="B27"/>
  <c r="G27"/>
  <c r="A28"/>
  <c r="B28"/>
  <c r="G28"/>
  <c r="A29"/>
  <c r="B29"/>
  <c r="G29"/>
  <c r="A30"/>
  <c r="B30"/>
  <c r="G30"/>
  <c r="A31"/>
  <c r="B31"/>
  <c r="G31"/>
  <c r="A32"/>
  <c r="B32"/>
  <c r="G32"/>
  <c r="A33"/>
  <c r="B33"/>
  <c r="G33"/>
  <c r="A34"/>
  <c r="B34"/>
  <c r="G34"/>
  <c r="A35"/>
  <c r="B35"/>
  <c r="G35"/>
  <c r="A36"/>
  <c r="B36"/>
  <c r="G36"/>
  <c r="A37"/>
  <c r="B37"/>
  <c r="G37"/>
  <c r="A38"/>
  <c r="B38"/>
  <c r="G38"/>
  <c r="A39"/>
  <c r="B39"/>
  <c r="G39"/>
  <c r="A40"/>
  <c r="B40"/>
  <c r="G40"/>
  <c r="A41"/>
  <c r="B41"/>
  <c r="G41"/>
  <c r="A42"/>
  <c r="B42"/>
  <c r="G42"/>
  <c r="A43"/>
  <c r="B43"/>
  <c r="G43"/>
  <c r="A44"/>
  <c r="B44"/>
  <c r="G44"/>
  <c r="A45"/>
  <c r="B45"/>
  <c r="G45"/>
  <c r="A46"/>
  <c r="B46"/>
  <c r="G46"/>
  <c r="A47"/>
  <c r="B47"/>
  <c r="G47"/>
  <c r="A48"/>
  <c r="B48"/>
  <c r="G48"/>
  <c r="A49"/>
  <c r="B49"/>
  <c r="G49"/>
  <c r="A50"/>
  <c r="B50"/>
  <c r="G50"/>
  <c r="A51"/>
  <c r="B51"/>
  <c r="G51"/>
  <c r="A52"/>
  <c r="B52"/>
  <c r="G52"/>
  <c r="A53"/>
  <c r="B53"/>
  <c r="G53"/>
  <c r="A54"/>
  <c r="B54"/>
  <c r="G54"/>
  <c r="A55"/>
  <c r="B55"/>
  <c r="G55"/>
  <c r="A56"/>
  <c r="B56"/>
  <c r="G56"/>
  <c r="A57"/>
  <c r="B57"/>
  <c r="G57"/>
  <c r="A58"/>
  <c r="B58"/>
  <c r="G58"/>
  <c r="A59"/>
  <c r="B59"/>
  <c r="G59"/>
  <c r="A60"/>
  <c r="B60"/>
  <c r="G60"/>
  <c r="A61"/>
  <c r="B61"/>
  <c r="G61"/>
  <c r="A62"/>
  <c r="B62"/>
  <c r="G62"/>
  <c r="A63"/>
  <c r="B63"/>
  <c r="G63"/>
  <c r="A64"/>
  <c r="B64"/>
  <c r="G64"/>
  <c r="A65"/>
  <c r="B65"/>
  <c r="G65"/>
  <c r="A66"/>
  <c r="B66"/>
  <c r="G66"/>
  <c r="A67"/>
  <c r="B67"/>
  <c r="G67"/>
  <c r="A68"/>
  <c r="B68"/>
  <c r="G68"/>
  <c r="A69"/>
  <c r="B69"/>
  <c r="G69"/>
  <c r="A70"/>
  <c r="B70"/>
  <c r="G70"/>
  <c r="A71"/>
  <c r="B71"/>
  <c r="G71"/>
  <c r="A72"/>
  <c r="B72"/>
  <c r="A73"/>
  <c r="B73"/>
  <c r="G73"/>
  <c r="A74"/>
  <c r="B74"/>
  <c r="G74"/>
  <c r="A75"/>
  <c r="B75"/>
  <c r="A76"/>
  <c r="B76"/>
  <c r="G76"/>
  <c r="A77"/>
  <c r="B77"/>
  <c r="G77"/>
  <c r="A78"/>
  <c r="B78"/>
  <c r="A79"/>
  <c r="B79"/>
  <c r="G79"/>
  <c r="A80"/>
  <c r="B80"/>
  <c r="G80"/>
  <c r="A81"/>
  <c r="B81"/>
  <c r="G81"/>
  <c r="A82"/>
  <c r="B82"/>
  <c r="A83"/>
  <c r="B83"/>
  <c r="H83"/>
  <c r="A84"/>
  <c r="B84"/>
  <c r="G84"/>
  <c r="A85"/>
  <c r="B85"/>
  <c r="G85"/>
  <c r="A86"/>
  <c r="B86"/>
  <c r="G86"/>
  <c r="A87"/>
  <c r="B87"/>
  <c r="G87"/>
  <c r="A88"/>
  <c r="B88"/>
  <c r="G88"/>
  <c r="A89"/>
  <c r="B89"/>
  <c r="G89"/>
  <c r="A90"/>
  <c r="B90"/>
  <c r="G90"/>
  <c r="A91"/>
  <c r="B91"/>
  <c r="G91"/>
  <c r="A92"/>
  <c r="B92"/>
  <c r="G92"/>
  <c r="A93"/>
  <c r="B93"/>
  <c r="G93"/>
  <c r="A94"/>
  <c r="B94"/>
  <c r="G94"/>
  <c r="A95"/>
  <c r="B95"/>
  <c r="G95"/>
  <c r="A96"/>
  <c r="B96"/>
  <c r="A97"/>
  <c r="B97"/>
  <c r="G97"/>
  <c r="A98"/>
  <c r="B98"/>
  <c r="G98"/>
  <c r="A99"/>
  <c r="B99"/>
  <c r="G99"/>
  <c r="A100"/>
  <c r="B100"/>
  <c r="G100"/>
  <c r="A101"/>
  <c r="B101"/>
  <c r="G101"/>
  <c r="A102"/>
  <c r="B102"/>
  <c r="G102"/>
  <c r="A103"/>
  <c r="B103"/>
  <c r="G103"/>
  <c r="A104"/>
  <c r="B104"/>
  <c r="G104"/>
  <c r="A105"/>
  <c r="B105"/>
  <c r="G105"/>
  <c r="A106"/>
  <c r="B106"/>
  <c r="G106"/>
  <c r="A107"/>
  <c r="B107"/>
  <c r="G107"/>
  <c r="A108"/>
  <c r="B108"/>
  <c r="A109"/>
  <c r="B109"/>
  <c r="G109"/>
  <c r="A110"/>
  <c r="B110"/>
  <c r="G110"/>
  <c r="A111"/>
  <c r="B111"/>
  <c r="G111"/>
  <c r="A112"/>
  <c r="B112"/>
  <c r="G112"/>
  <c r="A113"/>
  <c r="B113"/>
  <c r="G113"/>
  <c r="A114"/>
  <c r="B114"/>
  <c r="H114"/>
  <c r="A115"/>
  <c r="B115"/>
  <c r="G115"/>
  <c r="A116"/>
  <c r="B116"/>
  <c r="G116"/>
  <c r="A117"/>
  <c r="B117"/>
  <c r="G117"/>
  <c r="A118"/>
  <c r="B118"/>
  <c r="G118"/>
  <c r="A119"/>
  <c r="B119"/>
  <c r="G119"/>
  <c r="A120"/>
  <c r="B120"/>
  <c r="G120"/>
  <c r="A121"/>
  <c r="B121"/>
  <c r="G121"/>
  <c r="A122"/>
  <c r="B122"/>
  <c r="G122"/>
  <c r="A123"/>
  <c r="B123"/>
  <c r="G123"/>
  <c r="A124"/>
  <c r="B124"/>
  <c r="G124"/>
  <c r="A125"/>
  <c r="B125"/>
  <c r="G125"/>
  <c r="A126"/>
  <c r="B126"/>
  <c r="G126"/>
  <c r="A127"/>
  <c r="B127"/>
  <c r="G127"/>
  <c r="A128"/>
  <c r="B128"/>
  <c r="G128"/>
  <c r="A129"/>
  <c r="B129"/>
  <c r="G129"/>
  <c r="A130"/>
  <c r="B130"/>
  <c r="G130"/>
  <c r="A131"/>
  <c r="B131"/>
  <c r="G131"/>
  <c r="A132"/>
  <c r="B132"/>
  <c r="G132"/>
  <c r="A133"/>
  <c r="B133"/>
  <c r="G133"/>
  <c r="A134"/>
  <c r="B134"/>
  <c r="G134"/>
  <c r="A135"/>
  <c r="B135"/>
  <c r="G135"/>
  <c r="A136"/>
  <c r="B136"/>
  <c r="G136"/>
  <c r="A137"/>
  <c r="B137"/>
  <c r="G137"/>
  <c r="A138"/>
  <c r="B138"/>
  <c r="G138"/>
  <c r="A139"/>
  <c r="B139"/>
  <c r="G139"/>
  <c r="A140"/>
  <c r="B140"/>
  <c r="G140"/>
  <c r="A141"/>
  <c r="B141"/>
  <c r="G141"/>
  <c r="A142"/>
  <c r="B142"/>
  <c r="G142"/>
  <c r="A143"/>
  <c r="B143"/>
  <c r="G143"/>
  <c r="A144"/>
  <c r="B144"/>
  <c r="G144"/>
  <c r="A145"/>
  <c r="B145"/>
  <c r="G145"/>
  <c r="A146"/>
  <c r="B146"/>
  <c r="G146"/>
  <c r="A147"/>
  <c r="B147"/>
  <c r="G147"/>
  <c r="A148"/>
  <c r="B148"/>
  <c r="G148"/>
  <c r="A149"/>
  <c r="B149"/>
  <c r="G149"/>
  <c r="A150"/>
  <c r="B150"/>
  <c r="G150"/>
  <c r="A151"/>
  <c r="B151"/>
  <c r="G151"/>
  <c r="A152"/>
  <c r="B152"/>
  <c r="G152"/>
  <c r="A153"/>
  <c r="B153"/>
  <c r="G153"/>
  <c r="A154"/>
  <c r="B154"/>
  <c r="G154"/>
  <c r="A155"/>
  <c r="B155"/>
  <c r="G155"/>
  <c r="A156"/>
  <c r="B156"/>
  <c r="G156"/>
  <c r="A157"/>
  <c r="B157"/>
  <c r="G157"/>
  <c r="A158"/>
  <c r="B158"/>
  <c r="G158"/>
  <c r="A159"/>
  <c r="B159"/>
  <c r="G159"/>
  <c r="A160"/>
  <c r="B160"/>
  <c r="G160"/>
  <c r="A161"/>
  <c r="B161"/>
  <c r="G161"/>
  <c r="A162"/>
  <c r="B162"/>
  <c r="G162"/>
  <c r="A163"/>
  <c r="B163"/>
  <c r="G163"/>
  <c r="A164"/>
  <c r="B164"/>
  <c r="G164"/>
  <c r="A165"/>
  <c r="B165"/>
  <c r="G165"/>
  <c r="A166"/>
  <c r="B166"/>
  <c r="G166"/>
  <c r="A167"/>
  <c r="B167"/>
  <c r="G167"/>
  <c r="A168"/>
  <c r="B168"/>
  <c r="A169"/>
  <c r="B169"/>
  <c r="G169"/>
  <c r="A170"/>
  <c r="B170"/>
  <c r="G170"/>
  <c r="A171"/>
  <c r="B171"/>
  <c r="A172"/>
  <c r="B172"/>
  <c r="G172"/>
  <c r="A173"/>
  <c r="B173"/>
  <c r="G173"/>
  <c r="A174"/>
  <c r="B174"/>
  <c r="G174"/>
  <c r="A175"/>
  <c r="B175"/>
  <c r="A176"/>
  <c r="B176"/>
  <c r="G176"/>
  <c r="A177"/>
  <c r="B177"/>
  <c r="G177"/>
  <c r="A178"/>
  <c r="B178"/>
  <c r="G178"/>
  <c r="A179"/>
  <c r="B179"/>
  <c r="G179"/>
  <c r="A180"/>
  <c r="B180"/>
  <c r="A181"/>
  <c r="B181"/>
  <c r="G181"/>
  <c r="A182"/>
  <c r="B182"/>
  <c r="G182"/>
  <c r="A183"/>
  <c r="B183"/>
  <c r="G183"/>
  <c r="A184"/>
  <c r="B184"/>
  <c r="G184"/>
  <c r="A185"/>
  <c r="B185"/>
  <c r="G185"/>
  <c r="A186"/>
  <c r="B186"/>
  <c r="G186"/>
  <c r="A187"/>
  <c r="B187"/>
  <c r="G187"/>
  <c r="A188"/>
  <c r="B188"/>
  <c r="G188"/>
  <c r="A189"/>
  <c r="B189"/>
  <c r="G189"/>
  <c r="A190"/>
  <c r="B190"/>
  <c r="G190"/>
  <c r="A191"/>
  <c r="B191"/>
  <c r="G191"/>
  <c r="A192"/>
  <c r="B192"/>
  <c r="G192"/>
  <c r="A193"/>
  <c r="B193"/>
  <c r="G193"/>
  <c r="A194"/>
  <c r="B194"/>
  <c r="G194"/>
  <c r="A195"/>
  <c r="B195"/>
  <c r="G195"/>
  <c r="A196"/>
  <c r="B196"/>
  <c r="G196"/>
  <c r="A197"/>
  <c r="B197"/>
  <c r="G197"/>
  <c r="A198"/>
  <c r="B198"/>
  <c r="G198"/>
  <c r="A199"/>
  <c r="B199"/>
  <c r="G199"/>
  <c r="A200"/>
  <c r="B200"/>
  <c r="G200"/>
  <c r="A201"/>
  <c r="B201"/>
  <c r="G201"/>
  <c r="A202"/>
  <c r="B202"/>
  <c r="G202"/>
  <c r="A203"/>
  <c r="B203"/>
  <c r="G203"/>
  <c r="A204"/>
  <c r="B204"/>
  <c r="G204"/>
  <c r="A205"/>
  <c r="B205"/>
  <c r="G205"/>
  <c r="A206"/>
  <c r="B206"/>
  <c r="G206"/>
  <c r="A207"/>
  <c r="B207"/>
  <c r="G207"/>
  <c r="A208"/>
  <c r="B208"/>
  <c r="G208"/>
  <c r="A209"/>
  <c r="B209"/>
  <c r="G209"/>
  <c r="A210"/>
  <c r="B210"/>
  <c r="G210"/>
  <c r="A211"/>
  <c r="B211"/>
  <c r="G211"/>
  <c r="A212"/>
  <c r="B212"/>
  <c r="G212"/>
  <c r="A213"/>
  <c r="B213"/>
  <c r="G213"/>
  <c r="A214"/>
  <c r="B214"/>
  <c r="G214"/>
  <c r="A215"/>
  <c r="B215"/>
  <c r="G215"/>
  <c r="A216"/>
  <c r="B216"/>
  <c r="G216"/>
  <c r="A217"/>
  <c r="B217"/>
  <c r="G217"/>
  <c r="A218"/>
  <c r="B218"/>
  <c r="G218"/>
  <c r="A219"/>
  <c r="B219"/>
  <c r="G219"/>
  <c r="A220"/>
  <c r="B220"/>
  <c r="G220"/>
  <c r="A221"/>
  <c r="B221"/>
  <c r="G221"/>
  <c r="A222"/>
  <c r="B222"/>
  <c r="G222"/>
  <c r="A223"/>
  <c r="B223"/>
  <c r="G223"/>
  <c r="A224"/>
  <c r="B224"/>
  <c r="G224"/>
  <c r="A225"/>
  <c r="B225"/>
  <c r="G225"/>
  <c r="A226"/>
  <c r="B226"/>
  <c r="G226"/>
  <c r="A227"/>
  <c r="B227"/>
  <c r="G227"/>
  <c r="A228"/>
  <c r="B228"/>
  <c r="G228"/>
  <c r="A229"/>
  <c r="B229"/>
  <c r="G229"/>
  <c r="A230"/>
  <c r="B230"/>
  <c r="G230"/>
  <c r="A231"/>
  <c r="B231"/>
  <c r="G231"/>
  <c r="A232"/>
  <c r="B232"/>
  <c r="G232"/>
  <c r="A233"/>
  <c r="B233"/>
  <c r="G233"/>
  <c r="A234"/>
  <c r="B234"/>
  <c r="G234"/>
  <c r="A235"/>
  <c r="B235"/>
  <c r="G235"/>
  <c r="A236"/>
  <c r="B236"/>
  <c r="G236"/>
  <c r="A237"/>
  <c r="B237"/>
  <c r="G237"/>
  <c r="A238"/>
  <c r="B238"/>
  <c r="G238"/>
  <c r="A239"/>
  <c r="B239"/>
  <c r="G239"/>
  <c r="A240"/>
  <c r="B240"/>
  <c r="G240"/>
  <c r="A241"/>
  <c r="B241"/>
  <c r="G241"/>
  <c r="A242"/>
  <c r="B242"/>
  <c r="G242"/>
  <c r="A243"/>
  <c r="B243"/>
  <c r="G243"/>
  <c r="A244"/>
  <c r="B244"/>
  <c r="G244"/>
  <c r="A245"/>
  <c r="B245"/>
  <c r="G245"/>
  <c r="A246"/>
  <c r="B246"/>
  <c r="G246"/>
  <c r="A247"/>
  <c r="B247"/>
  <c r="G247"/>
  <c r="A248"/>
  <c r="B248"/>
  <c r="G248"/>
  <c r="A249"/>
  <c r="B249"/>
  <c r="G249"/>
  <c r="A250"/>
  <c r="B250"/>
  <c r="G250"/>
  <c r="A251"/>
  <c r="B251"/>
  <c r="G251"/>
  <c r="A252"/>
  <c r="B252"/>
  <c r="G252"/>
  <c r="A253"/>
  <c r="B253"/>
  <c r="G253"/>
  <c r="A254"/>
  <c r="B254"/>
  <c r="G254"/>
  <c r="A255"/>
  <c r="B255"/>
  <c r="G255"/>
  <c r="A256"/>
  <c r="B256"/>
  <c r="G256"/>
  <c r="A257"/>
  <c r="B257"/>
  <c r="G257"/>
  <c r="A258"/>
  <c r="B258"/>
  <c r="G258"/>
  <c r="A259"/>
  <c r="B259"/>
  <c r="G259"/>
  <c r="A260"/>
  <c r="B260"/>
  <c r="G260"/>
  <c r="A261"/>
  <c r="B261"/>
  <c r="G261"/>
  <c r="A262"/>
  <c r="B262"/>
  <c r="G262"/>
  <c r="A263"/>
  <c r="B263"/>
  <c r="G263"/>
  <c r="A264"/>
  <c r="B264"/>
  <c r="G264"/>
  <c r="A265"/>
  <c r="B265"/>
  <c r="G265"/>
  <c r="A266"/>
  <c r="B266"/>
  <c r="A267"/>
  <c r="B267"/>
  <c r="G267"/>
  <c r="A268"/>
  <c r="B268"/>
  <c r="G268"/>
  <c r="A269"/>
  <c r="B269"/>
  <c r="G269"/>
  <c r="A270"/>
  <c r="B270"/>
  <c r="G270"/>
  <c r="A271"/>
  <c r="B271"/>
  <c r="G271"/>
  <c r="A272"/>
  <c r="B272"/>
  <c r="G272"/>
  <c r="A273"/>
  <c r="B273"/>
  <c r="G273"/>
  <c r="A274"/>
  <c r="B274"/>
  <c r="G274"/>
  <c r="A275"/>
  <c r="B275"/>
  <c r="G275"/>
  <c r="A276"/>
  <c r="B276"/>
  <c r="A277"/>
  <c r="B277"/>
  <c r="G277"/>
  <c r="A278"/>
  <c r="B278"/>
  <c r="G278"/>
  <c r="A279"/>
  <c r="B279"/>
  <c r="G279"/>
  <c r="A280"/>
  <c r="B280"/>
  <c r="G280"/>
  <c r="A281"/>
  <c r="B281"/>
  <c r="G281"/>
  <c r="A282"/>
  <c r="B282"/>
  <c r="G282"/>
  <c r="A283"/>
  <c r="B283"/>
  <c r="G283"/>
  <c r="A284"/>
  <c r="B284"/>
  <c r="G284"/>
  <c r="A285"/>
  <c r="B285"/>
  <c r="G285"/>
  <c r="A286"/>
  <c r="B286"/>
  <c r="A287"/>
  <c r="B287"/>
  <c r="G287"/>
  <c r="A288"/>
  <c r="B288"/>
  <c r="G288"/>
  <c r="A289"/>
  <c r="B289"/>
  <c r="G289"/>
  <c r="A290"/>
  <c r="B290"/>
  <c r="G290"/>
  <c r="A291"/>
  <c r="B291"/>
  <c r="G291"/>
  <c r="A292"/>
  <c r="B292"/>
  <c r="G292"/>
  <c r="A293"/>
  <c r="B293"/>
  <c r="G293"/>
  <c r="A294"/>
  <c r="B294"/>
  <c r="G294"/>
  <c r="A295"/>
  <c r="B295"/>
  <c r="G295"/>
  <c r="A296"/>
  <c r="B296"/>
  <c r="G296"/>
  <c r="A297"/>
  <c r="B297"/>
  <c r="G297"/>
  <c r="A298"/>
  <c r="B298"/>
  <c r="G298"/>
  <c r="A299"/>
  <c r="B299"/>
  <c r="G299"/>
  <c r="A300"/>
  <c r="B300"/>
  <c r="G300"/>
  <c r="A301"/>
  <c r="B301"/>
  <c r="G301"/>
  <c r="A302"/>
  <c r="B302"/>
  <c r="G302"/>
  <c r="A303"/>
  <c r="B303"/>
  <c r="G303"/>
  <c r="A304"/>
  <c r="B304"/>
  <c r="G304"/>
  <c r="A305"/>
  <c r="B305"/>
  <c r="G305"/>
  <c r="A306"/>
  <c r="B306"/>
  <c r="G306"/>
  <c r="A307"/>
  <c r="B307"/>
  <c r="G307"/>
  <c r="A308"/>
  <c r="B308"/>
  <c r="G308"/>
  <c r="A309"/>
  <c r="B309"/>
  <c r="G309"/>
  <c r="A310"/>
  <c r="B310"/>
  <c r="G310"/>
  <c r="A311"/>
  <c r="B311"/>
  <c r="G311"/>
  <c r="A312"/>
  <c r="B312"/>
  <c r="G312"/>
  <c r="A313"/>
  <c r="B313"/>
  <c r="G313"/>
  <c r="A314"/>
  <c r="B314"/>
  <c r="G314"/>
  <c r="A315"/>
  <c r="B315"/>
  <c r="G315"/>
  <c r="A316"/>
  <c r="B316"/>
  <c r="G316"/>
  <c r="A317"/>
  <c r="B317"/>
  <c r="G317"/>
  <c r="A318"/>
  <c r="B318"/>
  <c r="G318"/>
  <c r="A319"/>
  <c r="B319"/>
  <c r="G319"/>
  <c r="A320"/>
  <c r="B320"/>
  <c r="G320"/>
  <c r="A321"/>
  <c r="B321"/>
  <c r="G321"/>
  <c r="A322"/>
  <c r="B322"/>
  <c r="G322"/>
  <c r="A323"/>
  <c r="B323"/>
  <c r="G323"/>
  <c r="A324"/>
  <c r="B324"/>
  <c r="G324"/>
  <c r="A325"/>
  <c r="B325"/>
  <c r="G325"/>
  <c r="A326"/>
  <c r="B326"/>
  <c r="G326"/>
  <c r="A327"/>
  <c r="B327"/>
  <c r="G327"/>
  <c r="A328"/>
  <c r="B328"/>
  <c r="G328"/>
  <c r="A329"/>
  <c r="B329"/>
  <c r="G329"/>
  <c r="A330"/>
  <c r="B330"/>
  <c r="G330"/>
  <c r="A331"/>
  <c r="B331"/>
  <c r="G331"/>
  <c r="A332"/>
  <c r="B332"/>
  <c r="G332"/>
  <c r="A333"/>
  <c r="B333"/>
  <c r="G333"/>
  <c r="A334"/>
  <c r="B334"/>
  <c r="G334"/>
  <c r="A335"/>
  <c r="B335"/>
  <c r="G335"/>
  <c r="A336"/>
  <c r="B336"/>
  <c r="G336"/>
  <c r="A337"/>
  <c r="B337"/>
  <c r="G337"/>
  <c r="A338"/>
  <c r="B338"/>
  <c r="G338"/>
  <c r="A339"/>
  <c r="B339"/>
  <c r="G339"/>
  <c r="A340"/>
  <c r="B340"/>
  <c r="G340"/>
  <c r="A341"/>
  <c r="B341"/>
  <c r="G341"/>
  <c r="A342"/>
  <c r="B342"/>
  <c r="G342"/>
  <c r="A343"/>
  <c r="B343"/>
  <c r="G343"/>
  <c r="A344"/>
  <c r="B344"/>
  <c r="G344"/>
  <c r="A345"/>
  <c r="B345"/>
  <c r="G345"/>
  <c r="A346"/>
  <c r="B346"/>
  <c r="G346"/>
  <c r="A347"/>
  <c r="B347"/>
  <c r="G347"/>
  <c r="A348"/>
  <c r="B348"/>
  <c r="G348"/>
  <c r="A349"/>
  <c r="B349"/>
  <c r="G349"/>
  <c r="A350"/>
  <c r="B350"/>
  <c r="G350"/>
  <c r="A351"/>
  <c r="B351"/>
  <c r="G351"/>
  <c r="A352"/>
  <c r="B352"/>
  <c r="G352"/>
  <c r="A353"/>
  <c r="B353"/>
  <c r="G353"/>
  <c r="A354"/>
  <c r="B354"/>
  <c r="G354"/>
  <c r="A355"/>
  <c r="B355"/>
  <c r="G355"/>
  <c r="A356"/>
  <c r="B356"/>
  <c r="G356"/>
  <c r="A357"/>
  <c r="B357"/>
  <c r="G357"/>
  <c r="A358"/>
  <c r="B358"/>
  <c r="G358"/>
  <c r="A359"/>
  <c r="B359"/>
  <c r="G359"/>
  <c r="A360"/>
  <c r="B360"/>
  <c r="G360"/>
  <c r="A361"/>
  <c r="B361"/>
  <c r="G361"/>
  <c r="A362"/>
  <c r="B362"/>
  <c r="G362"/>
  <c r="A363"/>
  <c r="B363"/>
  <c r="G363"/>
  <c r="A364"/>
  <c r="B364"/>
  <c r="G364"/>
  <c r="A365"/>
  <c r="B365"/>
  <c r="G365"/>
  <c r="A366"/>
  <c r="B366"/>
  <c r="G366"/>
  <c r="A367"/>
  <c r="B367"/>
  <c r="G367"/>
  <c r="A368"/>
  <c r="B368"/>
  <c r="G368"/>
  <c r="A369"/>
  <c r="B369"/>
  <c r="G369"/>
  <c r="A370"/>
  <c r="B370"/>
  <c r="G370"/>
  <c r="A371"/>
  <c r="B371"/>
  <c r="G371"/>
  <c r="A372"/>
  <c r="B372"/>
  <c r="G372"/>
  <c r="A373"/>
  <c r="B373"/>
  <c r="G373"/>
  <c r="A374"/>
  <c r="B374"/>
  <c r="G374"/>
  <c r="A375"/>
  <c r="B375"/>
  <c r="G375"/>
  <c r="A376"/>
  <c r="B376"/>
  <c r="G376"/>
  <c r="A377"/>
  <c r="B377"/>
  <c r="G377"/>
  <c r="A378"/>
  <c r="B378"/>
  <c r="G378"/>
  <c r="A379"/>
  <c r="B379"/>
  <c r="A380"/>
  <c r="B380"/>
  <c r="G380"/>
  <c r="A381"/>
  <c r="B381"/>
  <c r="G381"/>
  <c r="A382"/>
  <c r="B382"/>
  <c r="G382"/>
  <c r="A383"/>
  <c r="B383"/>
  <c r="G383"/>
  <c r="A384"/>
  <c r="B384"/>
  <c r="G384"/>
  <c r="A385"/>
  <c r="B385"/>
  <c r="G385"/>
  <c r="A386"/>
  <c r="B386"/>
  <c r="G386"/>
  <c r="A387"/>
  <c r="B387"/>
  <c r="G387"/>
  <c r="A388"/>
  <c r="B388"/>
  <c r="A389"/>
  <c r="B389"/>
  <c r="G389"/>
  <c r="A390"/>
  <c r="B390"/>
  <c r="G390"/>
  <c r="A391"/>
  <c r="B391"/>
  <c r="G391"/>
  <c r="A392"/>
  <c r="B392"/>
  <c r="G392"/>
  <c r="A393"/>
  <c r="B393"/>
  <c r="G393"/>
  <c r="A394"/>
  <c r="B394"/>
  <c r="G394"/>
  <c r="A395"/>
  <c r="B395"/>
  <c r="G395"/>
  <c r="A396"/>
  <c r="B396"/>
  <c r="G396"/>
  <c r="A397"/>
  <c r="B397"/>
  <c r="A398"/>
  <c r="B398"/>
  <c r="G398"/>
  <c r="A399"/>
  <c r="B399"/>
  <c r="G399"/>
  <c r="A400"/>
  <c r="B400"/>
  <c r="G400"/>
  <c r="A401"/>
  <c r="B401"/>
  <c r="G401"/>
  <c r="A402"/>
  <c r="B402"/>
  <c r="G402"/>
  <c r="A403"/>
  <c r="B403"/>
  <c r="G403"/>
  <c r="A404"/>
  <c r="B404"/>
  <c r="A405"/>
  <c r="B405"/>
  <c r="G405"/>
  <c r="A406"/>
  <c r="B406"/>
  <c r="G406"/>
  <c r="A407"/>
  <c r="B407"/>
  <c r="G407"/>
  <c r="A408"/>
  <c r="B408"/>
  <c r="G408"/>
  <c r="A409"/>
  <c r="B409"/>
  <c r="G409"/>
  <c r="A410"/>
  <c r="B410"/>
  <c r="G410"/>
  <c r="A411"/>
  <c r="B411"/>
  <c r="G411"/>
  <c r="A412"/>
  <c r="B412"/>
  <c r="G412"/>
  <c r="A413"/>
  <c r="B413"/>
  <c r="G413"/>
  <c r="A414"/>
  <c r="B414"/>
  <c r="A415"/>
  <c r="B415"/>
  <c r="G415"/>
  <c r="A416"/>
  <c r="B416"/>
  <c r="G416"/>
  <c r="A417"/>
  <c r="B417"/>
  <c r="G417"/>
  <c r="A418"/>
  <c r="B418"/>
  <c r="G418"/>
  <c r="A419"/>
  <c r="B419"/>
  <c r="G419"/>
  <c r="A420"/>
  <c r="B420"/>
  <c r="G420"/>
  <c r="A421"/>
  <c r="B421"/>
  <c r="G421"/>
  <c r="A422"/>
  <c r="B422"/>
  <c r="G422"/>
  <c r="A423"/>
  <c r="B423"/>
  <c r="A424"/>
  <c r="B424"/>
  <c r="G424"/>
  <c r="A425"/>
  <c r="B425"/>
  <c r="G425"/>
  <c r="A426"/>
  <c r="B426"/>
  <c r="G426"/>
  <c r="A427"/>
  <c r="B427"/>
  <c r="G427"/>
  <c r="A428"/>
  <c r="B428"/>
  <c r="G428"/>
  <c r="A429"/>
  <c r="B429"/>
  <c r="G429"/>
  <c r="A430"/>
  <c r="B430"/>
  <c r="G430"/>
  <c r="A431"/>
  <c r="B431"/>
  <c r="G431"/>
  <c r="A432"/>
  <c r="B432"/>
  <c r="A433"/>
  <c r="B433"/>
  <c r="G433"/>
  <c r="A434"/>
  <c r="B434"/>
  <c r="G434"/>
  <c r="A435"/>
  <c r="B435"/>
  <c r="G435"/>
  <c r="A436"/>
  <c r="B436"/>
  <c r="G436"/>
  <c r="A437"/>
  <c r="B437"/>
  <c r="G437"/>
  <c r="A438"/>
  <c r="B438"/>
  <c r="G438"/>
  <c r="A439"/>
  <c r="B439"/>
  <c r="G439"/>
  <c r="A440"/>
  <c r="B440"/>
  <c r="G440"/>
  <c r="A441"/>
  <c r="B441"/>
  <c r="A442"/>
  <c r="B442"/>
  <c r="G442"/>
  <c r="A443"/>
  <c r="B443"/>
  <c r="G443"/>
  <c r="A444"/>
  <c r="B444"/>
  <c r="G444"/>
  <c r="A445"/>
  <c r="B445"/>
  <c r="G445"/>
  <c r="A446"/>
  <c r="B446"/>
  <c r="G446"/>
  <c r="A447"/>
  <c r="B447"/>
  <c r="G447"/>
  <c r="A448"/>
  <c r="B448"/>
  <c r="G448"/>
  <c r="A449"/>
  <c r="B449"/>
  <c r="G449"/>
  <c r="A450"/>
  <c r="B450"/>
  <c r="A451"/>
  <c r="B451"/>
  <c r="G451"/>
  <c r="A452"/>
  <c r="B452"/>
  <c r="G452"/>
  <c r="A453"/>
  <c r="B453"/>
  <c r="G453"/>
  <c r="A454"/>
  <c r="B454"/>
  <c r="G454"/>
  <c r="A455"/>
  <c r="B455"/>
  <c r="G455"/>
  <c r="A456"/>
  <c r="B456"/>
  <c r="G456"/>
  <c r="A457"/>
  <c r="B457"/>
  <c r="G457"/>
  <c r="A458"/>
  <c r="B458"/>
  <c r="G458"/>
  <c r="A459"/>
  <c r="B459"/>
  <c r="A460"/>
  <c r="B460"/>
  <c r="G460"/>
  <c r="A461"/>
  <c r="B461"/>
  <c r="G461"/>
  <c r="A462"/>
  <c r="B462"/>
  <c r="G462"/>
  <c r="A463"/>
  <c r="B463"/>
  <c r="G463"/>
  <c r="A464"/>
  <c r="B464"/>
  <c r="G464"/>
  <c r="A465"/>
  <c r="B465"/>
  <c r="G465"/>
  <c r="A466"/>
  <c r="B466"/>
  <c r="G466"/>
  <c r="A467"/>
  <c r="B467"/>
  <c r="G467"/>
  <c r="A468"/>
  <c r="B468"/>
  <c r="G468"/>
  <c r="A469"/>
  <c r="B469"/>
  <c r="G469"/>
  <c r="A470"/>
  <c r="B470"/>
  <c r="G470"/>
  <c r="A471"/>
  <c r="B471"/>
  <c r="G471"/>
  <c r="A472"/>
  <c r="B472"/>
  <c r="G472"/>
  <c r="A473"/>
  <c r="B473"/>
  <c r="G473"/>
  <c r="A474"/>
  <c r="B474"/>
  <c r="G474"/>
  <c r="A475"/>
  <c r="B475"/>
  <c r="A476"/>
  <c r="B476"/>
  <c r="G476"/>
  <c r="A477"/>
  <c r="B477"/>
  <c r="G477"/>
  <c r="A478"/>
  <c r="B478"/>
  <c r="G478"/>
  <c r="A479"/>
  <c r="B479"/>
  <c r="G479"/>
  <c r="A480"/>
  <c r="B480"/>
  <c r="G480"/>
  <c r="A481"/>
  <c r="B481"/>
  <c r="A482"/>
  <c r="B482"/>
  <c r="G482"/>
  <c r="A483"/>
  <c r="B483"/>
  <c r="G483"/>
  <c r="A484"/>
  <c r="B484"/>
  <c r="G484"/>
  <c r="A485"/>
  <c r="B485"/>
  <c r="G485"/>
  <c r="A486"/>
  <c r="B486"/>
  <c r="G486"/>
  <c r="A487"/>
  <c r="B487"/>
  <c r="G487"/>
  <c r="A488"/>
  <c r="B488"/>
  <c r="G488"/>
  <c r="A489"/>
  <c r="B489"/>
  <c r="G489"/>
  <c r="A490"/>
  <c r="B490"/>
  <c r="A491"/>
  <c r="B491"/>
  <c r="G491"/>
  <c r="A492"/>
  <c r="B492"/>
  <c r="G492"/>
  <c r="A493"/>
  <c r="B493"/>
  <c r="G493"/>
  <c r="A494"/>
  <c r="B494"/>
  <c r="A495"/>
  <c r="B495"/>
  <c r="G495"/>
  <c r="A496"/>
  <c r="B496"/>
  <c r="G496"/>
  <c r="A497"/>
  <c r="B497"/>
  <c r="G497"/>
  <c r="A498"/>
  <c r="B498"/>
  <c r="G498"/>
  <c r="A499"/>
  <c r="B499"/>
  <c r="A500"/>
  <c r="B500"/>
  <c r="G500"/>
  <c r="A501"/>
  <c r="B501"/>
  <c r="G501"/>
  <c r="A502"/>
  <c r="B502"/>
  <c r="G502"/>
  <c r="A503"/>
  <c r="B503"/>
  <c r="G503"/>
  <c r="A504"/>
  <c r="B504"/>
  <c r="A505"/>
  <c r="B505"/>
  <c r="G505"/>
  <c r="A506"/>
  <c r="B506"/>
  <c r="G506"/>
  <c r="A507"/>
  <c r="B507"/>
  <c r="G507"/>
  <c r="A508"/>
  <c r="B508"/>
  <c r="G508"/>
  <c r="A509"/>
  <c r="B509"/>
  <c r="G509"/>
  <c r="A510"/>
  <c r="B510"/>
  <c r="A511"/>
  <c r="B511"/>
  <c r="G511"/>
  <c r="A512"/>
  <c r="B512"/>
  <c r="G512"/>
  <c r="A513"/>
  <c r="B513"/>
  <c r="A514"/>
  <c r="B514"/>
  <c r="G514"/>
  <c r="A515"/>
  <c r="B515"/>
  <c r="G515"/>
  <c r="A516"/>
  <c r="B516"/>
  <c r="G516"/>
  <c r="A517"/>
  <c r="B517"/>
  <c r="G517"/>
  <c r="A518"/>
  <c r="B518"/>
  <c r="A519"/>
  <c r="B519"/>
  <c r="G519"/>
  <c r="A520"/>
  <c r="B520"/>
  <c r="G520"/>
  <c r="A521"/>
  <c r="B521"/>
  <c r="G521"/>
  <c r="A522"/>
  <c r="B522"/>
  <c r="A523"/>
  <c r="B523"/>
  <c r="G523"/>
  <c r="A524"/>
  <c r="B524"/>
  <c r="G524"/>
  <c r="A525"/>
  <c r="B525"/>
  <c r="G525"/>
  <c r="A526"/>
  <c r="B526"/>
  <c r="A527"/>
  <c r="B527"/>
  <c r="G527"/>
  <c r="A528"/>
  <c r="B528"/>
  <c r="G528"/>
  <c r="A529"/>
  <c r="B529"/>
  <c r="G529"/>
  <c r="A530"/>
  <c r="B530"/>
  <c r="A531"/>
  <c r="B531"/>
  <c r="G531"/>
  <c r="A532"/>
  <c r="B532"/>
  <c r="G532"/>
  <c r="A533"/>
  <c r="B533"/>
  <c r="A534"/>
  <c r="B534"/>
  <c r="G534"/>
  <c r="A535"/>
  <c r="B535"/>
  <c r="G535"/>
  <c r="A536"/>
  <c r="B536"/>
  <c r="A537"/>
  <c r="B537"/>
  <c r="G537"/>
  <c r="A538"/>
  <c r="B538"/>
  <c r="G538"/>
  <c r="A539"/>
  <c r="B539"/>
  <c r="G539"/>
  <c r="A540"/>
  <c r="B540"/>
  <c r="A541"/>
  <c r="B541"/>
  <c r="G541"/>
  <c r="A542"/>
  <c r="B542"/>
  <c r="G542"/>
  <c r="A543"/>
  <c r="B543"/>
  <c r="G543"/>
  <c r="A544"/>
  <c r="B544"/>
  <c r="A545"/>
  <c r="B545"/>
  <c r="G545"/>
  <c r="A546"/>
  <c r="B546"/>
  <c r="G546"/>
  <c r="A547"/>
  <c r="B547"/>
  <c r="G547"/>
  <c r="A548"/>
  <c r="B548"/>
  <c r="G548"/>
  <c r="A549"/>
  <c r="B549"/>
  <c r="A550"/>
  <c r="B550"/>
  <c r="G550"/>
  <c r="A551"/>
  <c r="B551"/>
  <c r="G551"/>
  <c r="A552"/>
  <c r="B552"/>
  <c r="G552"/>
  <c r="A553"/>
  <c r="B553"/>
  <c r="G553"/>
  <c r="A554"/>
  <c r="B554"/>
  <c r="G554"/>
  <c r="A555"/>
  <c r="B555"/>
  <c r="G555"/>
  <c r="A556"/>
  <c r="B556"/>
  <c r="G556"/>
  <c r="A557"/>
  <c r="B557"/>
  <c r="G557"/>
  <c r="A558"/>
  <c r="B558"/>
  <c r="G558"/>
  <c r="A563"/>
  <c r="B563"/>
  <c r="G563"/>
  <c r="A564"/>
  <c r="B564"/>
  <c r="G564"/>
  <c r="A565"/>
  <c r="B565"/>
  <c r="G565"/>
  <c r="A566"/>
  <c r="B566"/>
  <c r="G566"/>
  <c r="A567"/>
  <c r="B567"/>
  <c r="G567"/>
  <c r="A568"/>
  <c r="B568"/>
  <c r="A569"/>
  <c r="B569"/>
  <c r="G569"/>
  <c r="A570"/>
  <c r="B570"/>
  <c r="G570"/>
  <c r="A571"/>
  <c r="B571"/>
  <c r="G571"/>
  <c r="A572"/>
  <c r="B572"/>
  <c r="G572"/>
  <c r="A573"/>
  <c r="B573"/>
  <c r="G573"/>
  <c r="A574"/>
  <c r="B574"/>
  <c r="A575"/>
  <c r="B575"/>
  <c r="G575"/>
  <c r="A576"/>
  <c r="B576"/>
  <c r="G576"/>
  <c r="A577"/>
  <c r="B577"/>
  <c r="G577"/>
  <c r="A578"/>
  <c r="B578"/>
  <c r="G578"/>
  <c r="A579"/>
  <c r="B579"/>
  <c r="A580"/>
  <c r="B580"/>
  <c r="G580"/>
  <c r="A581"/>
  <c r="B581"/>
  <c r="G581"/>
  <c r="A582"/>
  <c r="B582"/>
  <c r="G582"/>
  <c r="A583"/>
  <c r="B583"/>
  <c r="G583"/>
  <c r="A584"/>
  <c r="B584"/>
  <c r="G584"/>
  <c r="A585"/>
  <c r="B585"/>
  <c r="G585"/>
  <c r="A586"/>
  <c r="B586"/>
  <c r="G586"/>
  <c r="A587"/>
  <c r="B587"/>
  <c r="G587"/>
  <c r="A588"/>
  <c r="B588"/>
  <c r="G588"/>
  <c r="A589"/>
  <c r="B589"/>
  <c r="G589"/>
  <c r="A590"/>
  <c r="B590"/>
  <c r="G590"/>
  <c r="A591"/>
  <c r="B591"/>
  <c r="G591"/>
  <c r="A592"/>
  <c r="B592"/>
  <c r="G592"/>
  <c r="A593"/>
  <c r="B593"/>
  <c r="G593"/>
  <c r="A594"/>
  <c r="B594"/>
  <c r="G594"/>
  <c r="A595"/>
  <c r="B595"/>
  <c r="G595"/>
  <c r="A596"/>
  <c r="B596"/>
  <c r="G596"/>
  <c r="A597"/>
  <c r="B597"/>
  <c r="G597"/>
  <c r="A598"/>
  <c r="B598"/>
  <c r="G598"/>
  <c r="A599"/>
  <c r="B599"/>
  <c r="G599"/>
  <c r="A600"/>
  <c r="B600"/>
  <c r="G600"/>
  <c r="A601"/>
  <c r="B601"/>
  <c r="G601"/>
  <c r="A602"/>
  <c r="B602"/>
  <c r="G602"/>
  <c r="A603"/>
  <c r="B603"/>
  <c r="G603"/>
  <c r="A604"/>
  <c r="B604"/>
  <c r="G604"/>
  <c r="A605"/>
  <c r="B605"/>
  <c r="G605"/>
  <c r="A606"/>
  <c r="B606"/>
  <c r="G606"/>
  <c r="A607"/>
  <c r="B607"/>
  <c r="G607"/>
  <c r="A608"/>
  <c r="B608"/>
  <c r="G608"/>
  <c r="A609"/>
  <c r="B609"/>
  <c r="G609"/>
  <c r="A610"/>
  <c r="B610"/>
  <c r="G610"/>
  <c r="A611"/>
  <c r="B611"/>
  <c r="G611"/>
  <c r="A612"/>
  <c r="B612"/>
  <c r="G612"/>
  <c r="A613"/>
  <c r="B613"/>
  <c r="G613"/>
  <c r="A614"/>
  <c r="B614"/>
  <c r="G614"/>
  <c r="A615"/>
  <c r="B615"/>
  <c r="G615"/>
  <c r="A616"/>
  <c r="B616"/>
  <c r="G616"/>
  <c r="A617"/>
  <c r="B617"/>
  <c r="G617"/>
  <c r="A618"/>
  <c r="B618"/>
  <c r="G618"/>
  <c r="A619"/>
  <c r="B619"/>
  <c r="G619"/>
  <c r="A620"/>
  <c r="B620"/>
  <c r="G620"/>
  <c r="A621"/>
  <c r="B621"/>
  <c r="G621"/>
  <c r="A622"/>
  <c r="B622"/>
  <c r="G622"/>
  <c r="A623"/>
  <c r="B623"/>
  <c r="G623"/>
  <c r="A624"/>
  <c r="B624"/>
  <c r="G624"/>
  <c r="A625"/>
  <c r="B625"/>
  <c r="G625"/>
  <c r="A626"/>
  <c r="B626"/>
  <c r="G626"/>
  <c r="A627"/>
  <c r="B627"/>
  <c r="G627"/>
  <c r="A628"/>
  <c r="B628"/>
  <c r="G628"/>
  <c r="A629"/>
  <c r="B629"/>
  <c r="G629"/>
  <c r="A630"/>
  <c r="B630"/>
  <c r="G630"/>
  <c r="A631"/>
  <c r="B631"/>
  <c r="G631"/>
  <c r="A632"/>
  <c r="B632"/>
  <c r="G632"/>
  <c r="A633"/>
  <c r="B633"/>
  <c r="G633"/>
  <c r="A634"/>
  <c r="B634"/>
  <c r="G634"/>
  <c r="A635"/>
  <c r="B635"/>
  <c r="G635"/>
  <c r="A636"/>
  <c r="B636"/>
  <c r="G636"/>
  <c r="A637"/>
  <c r="B637"/>
  <c r="G637"/>
  <c r="A638"/>
  <c r="B638"/>
  <c r="G638"/>
  <c r="A639"/>
  <c r="B639"/>
  <c r="G639"/>
  <c r="A640"/>
  <c r="B640"/>
  <c r="G640"/>
  <c r="A641"/>
  <c r="B641"/>
  <c r="G641"/>
  <c r="A642"/>
  <c r="B642"/>
  <c r="G642"/>
  <c r="A643"/>
  <c r="B643"/>
  <c r="G643"/>
  <c r="A644"/>
  <c r="B644"/>
  <c r="G644"/>
  <c r="A645"/>
  <c r="B645"/>
  <c r="G645"/>
  <c r="A646"/>
  <c r="B646"/>
  <c r="G646"/>
  <c r="A647"/>
  <c r="B647"/>
  <c r="G647"/>
  <c r="A648"/>
  <c r="B648"/>
  <c r="G648"/>
  <c r="A649"/>
  <c r="B649"/>
  <c r="G649"/>
  <c r="A650"/>
  <c r="B650"/>
  <c r="G650"/>
  <c r="A651"/>
  <c r="B651"/>
  <c r="G651"/>
  <c r="A652"/>
  <c r="B652"/>
  <c r="G652"/>
  <c r="A653"/>
  <c r="B653"/>
  <c r="G653"/>
  <c r="A654"/>
  <c r="B654"/>
  <c r="G654"/>
  <c r="A655"/>
  <c r="B655"/>
  <c r="G655"/>
  <c r="A656"/>
  <c r="B656"/>
  <c r="G656"/>
  <c r="A657"/>
  <c r="B657"/>
  <c r="G657"/>
  <c r="A658"/>
  <c r="B658"/>
  <c r="G658"/>
  <c r="A659"/>
  <c r="B659"/>
  <c r="G659"/>
  <c r="A660"/>
  <c r="B660"/>
  <c r="G660"/>
  <c r="A661"/>
  <c r="B661"/>
  <c r="G661"/>
  <c r="A662"/>
  <c r="B662"/>
  <c r="G662"/>
  <c r="A663"/>
  <c r="B663"/>
  <c r="G663"/>
  <c r="A664"/>
  <c r="B664"/>
  <c r="G664"/>
  <c r="A665"/>
  <c r="B665"/>
  <c r="G665"/>
  <c r="A666"/>
  <c r="B666"/>
  <c r="G666"/>
  <c r="A667"/>
  <c r="B667"/>
  <c r="G667"/>
  <c r="A668"/>
  <c r="B668"/>
  <c r="G668"/>
  <c r="A669"/>
  <c r="B669"/>
  <c r="G669"/>
  <c r="A670"/>
  <c r="B670"/>
  <c r="G670"/>
  <c r="A671"/>
  <c r="B671"/>
  <c r="G671"/>
  <c r="A672"/>
  <c r="B672"/>
  <c r="G672"/>
  <c r="A673"/>
  <c r="B673"/>
  <c r="G673"/>
  <c r="A674"/>
  <c r="B674"/>
  <c r="G674"/>
  <c r="A675"/>
  <c r="B675"/>
  <c r="G675"/>
  <c r="A676"/>
  <c r="B676"/>
  <c r="G676"/>
  <c r="A677"/>
  <c r="B677"/>
  <c r="G677"/>
  <c r="A678"/>
  <c r="B678"/>
  <c r="G678"/>
  <c r="A679"/>
  <c r="B679"/>
  <c r="G679"/>
  <c r="A680"/>
  <c r="B680"/>
  <c r="G680"/>
  <c r="A681"/>
  <c r="B681"/>
  <c r="G681"/>
  <c r="A682"/>
  <c r="B682"/>
  <c r="G682"/>
  <c r="A683"/>
  <c r="B683"/>
  <c r="G683"/>
  <c r="A684"/>
  <c r="B684"/>
  <c r="G684"/>
  <c r="A685"/>
  <c r="B685"/>
  <c r="G685"/>
  <c r="A686"/>
  <c r="B686"/>
  <c r="G686"/>
  <c r="A687"/>
  <c r="B687"/>
  <c r="G687"/>
  <c r="A688"/>
  <c r="B688"/>
  <c r="G688"/>
  <c r="A689"/>
  <c r="B689"/>
  <c r="G689"/>
  <c r="A690"/>
  <c r="B690"/>
  <c r="G690"/>
  <c r="A691"/>
  <c r="B691"/>
  <c r="G691"/>
  <c r="A692"/>
  <c r="B692"/>
  <c r="G692"/>
  <c r="A693"/>
  <c r="B693"/>
  <c r="G693"/>
  <c r="A694"/>
  <c r="B694"/>
  <c r="G694"/>
  <c r="A695"/>
  <c r="B695"/>
  <c r="G695"/>
  <c r="A696"/>
  <c r="B696"/>
  <c r="G696"/>
  <c r="A697"/>
  <c r="B697"/>
  <c r="G697"/>
  <c r="A698"/>
  <c r="B698"/>
  <c r="G698"/>
  <c r="A699"/>
  <c r="B699"/>
  <c r="G699"/>
  <c r="A700"/>
  <c r="B700"/>
  <c r="G700"/>
  <c r="A701"/>
  <c r="B701"/>
  <c r="G701"/>
  <c r="A702"/>
  <c r="B702"/>
  <c r="G702"/>
  <c r="A703"/>
  <c r="B703"/>
  <c r="G703"/>
  <c r="A704"/>
  <c r="B704"/>
  <c r="G704"/>
  <c r="A705"/>
  <c r="B705"/>
  <c r="G705"/>
  <c r="A706"/>
  <c r="B706"/>
  <c r="G706"/>
  <c r="A707"/>
  <c r="B707"/>
  <c r="G707"/>
  <c r="A708"/>
  <c r="B708"/>
  <c r="G708"/>
  <c r="A709"/>
  <c r="B709"/>
  <c r="G709"/>
  <c r="A710"/>
  <c r="B710"/>
  <c r="G710"/>
  <c r="A711"/>
  <c r="B711"/>
  <c r="G711"/>
  <c r="A712"/>
  <c r="B712"/>
  <c r="G712"/>
  <c r="A713"/>
  <c r="B713"/>
  <c r="G713"/>
  <c r="A714"/>
  <c r="B714"/>
  <c r="G714"/>
  <c r="A715"/>
  <c r="B715"/>
  <c r="G715"/>
  <c r="A716"/>
  <c r="B716"/>
  <c r="G716"/>
  <c r="A717"/>
  <c r="B717"/>
  <c r="G717"/>
  <c r="A718"/>
  <c r="B718"/>
  <c r="G718"/>
  <c r="A719"/>
  <c r="B719"/>
  <c r="G719"/>
  <c r="A720"/>
  <c r="B720"/>
  <c r="G720"/>
  <c r="A721"/>
  <c r="B721"/>
  <c r="G721"/>
  <c r="A722"/>
  <c r="B722"/>
  <c r="G722"/>
  <c r="A723"/>
  <c r="B723"/>
  <c r="G723"/>
  <c r="A724"/>
  <c r="B724"/>
  <c r="G724"/>
  <c r="A725"/>
  <c r="B725"/>
  <c r="G725"/>
  <c r="A726"/>
  <c r="B726"/>
  <c r="G726"/>
  <c r="A727"/>
  <c r="B727"/>
  <c r="G727"/>
  <c r="A728"/>
  <c r="B728"/>
  <c r="G728"/>
  <c r="A729"/>
  <c r="B729"/>
  <c r="G729"/>
  <c r="A730"/>
  <c r="B730"/>
  <c r="H730"/>
  <c r="A731"/>
  <c r="B731"/>
  <c r="G731"/>
  <c r="A732"/>
  <c r="B732"/>
  <c r="G732"/>
  <c r="A733"/>
  <c r="B733"/>
  <c r="G733"/>
  <c r="A734"/>
  <c r="B734"/>
  <c r="G734"/>
  <c r="A735"/>
  <c r="B735"/>
  <c r="G735"/>
  <c r="A736"/>
  <c r="B736"/>
  <c r="G736"/>
  <c r="A737"/>
  <c r="B737"/>
  <c r="G737"/>
  <c r="A738"/>
  <c r="B738"/>
  <c r="G738"/>
  <c r="A739"/>
  <c r="B739"/>
  <c r="G739"/>
  <c r="A740"/>
  <c r="B740"/>
  <c r="G740"/>
  <c r="A741"/>
  <c r="B741"/>
  <c r="G741"/>
  <c r="A742"/>
  <c r="B742"/>
  <c r="G742"/>
  <c r="A743"/>
  <c r="B743"/>
  <c r="G743"/>
  <c r="A744"/>
  <c r="B744"/>
  <c r="G744"/>
  <c r="A745"/>
  <c r="B745"/>
  <c r="G745"/>
  <c r="A746"/>
  <c r="B746"/>
  <c r="G746"/>
  <c r="A747"/>
  <c r="B747"/>
  <c r="G747"/>
  <c r="A748"/>
  <c r="B748"/>
  <c r="G748"/>
  <c r="A749"/>
  <c r="B749"/>
  <c r="G749"/>
  <c r="A750"/>
  <c r="B750"/>
  <c r="G750"/>
  <c r="A751"/>
  <c r="B751"/>
  <c r="G751"/>
  <c r="A752"/>
  <c r="B752"/>
  <c r="G752"/>
  <c r="A753"/>
  <c r="B753"/>
  <c r="G753"/>
  <c r="A754"/>
  <c r="B754"/>
  <c r="G754"/>
  <c r="A755"/>
  <c r="B755"/>
  <c r="G755"/>
  <c r="A756"/>
  <c r="B756"/>
  <c r="G756"/>
  <c r="A757"/>
  <c r="B757"/>
  <c r="G757"/>
  <c r="A758"/>
  <c r="B758"/>
  <c r="G758"/>
  <c r="A759"/>
  <c r="B759"/>
  <c r="G759"/>
  <c r="A760"/>
  <c r="B760"/>
  <c r="G760"/>
  <c r="A761"/>
  <c r="B761"/>
  <c r="G761"/>
  <c r="A762"/>
  <c r="B762"/>
  <c r="G762"/>
  <c r="A763"/>
  <c r="B763"/>
  <c r="G763"/>
  <c r="A764"/>
  <c r="B764"/>
  <c r="G764"/>
  <c r="A765"/>
  <c r="B765"/>
  <c r="G765"/>
  <c r="A766"/>
  <c r="B766"/>
  <c r="G766"/>
  <c r="A767"/>
  <c r="B767"/>
  <c r="G767"/>
  <c r="A768"/>
  <c r="B768"/>
  <c r="G768"/>
  <c r="A769"/>
  <c r="B769"/>
  <c r="G769"/>
  <c r="A770"/>
  <c r="B770"/>
  <c r="G770"/>
  <c r="A771"/>
  <c r="B771"/>
  <c r="G771"/>
  <c r="A772"/>
  <c r="B772"/>
  <c r="G772"/>
  <c r="A773"/>
  <c r="B773"/>
  <c r="G773"/>
  <c r="A774"/>
  <c r="B774"/>
  <c r="G774"/>
  <c r="A775"/>
  <c r="B775"/>
  <c r="G775"/>
  <c r="A776"/>
  <c r="B776"/>
  <c r="G776"/>
  <c r="A777"/>
  <c r="B777"/>
  <c r="G777"/>
  <c r="A778"/>
  <c r="B778"/>
  <c r="G778"/>
  <c r="A779"/>
  <c r="B779"/>
  <c r="G779"/>
  <c r="A780"/>
  <c r="B780"/>
  <c r="G780"/>
  <c r="A781"/>
  <c r="B781"/>
  <c r="G781"/>
  <c r="A782"/>
  <c r="B782"/>
  <c r="G782"/>
  <c r="A783"/>
  <c r="B783"/>
  <c r="G783"/>
  <c r="A784"/>
  <c r="B784"/>
  <c r="G784"/>
  <c r="A785"/>
  <c r="B785"/>
  <c r="G785"/>
  <c r="A786"/>
  <c r="B786"/>
  <c r="G786"/>
  <c r="A787"/>
  <c r="B787"/>
  <c r="G787"/>
  <c r="A788"/>
  <c r="B788"/>
  <c r="G788"/>
  <c r="A789"/>
  <c r="B789"/>
  <c r="G789"/>
  <c r="A790"/>
  <c r="B790"/>
  <c r="G790"/>
  <c r="A791"/>
  <c r="B791"/>
  <c r="G791"/>
  <c r="A792"/>
  <c r="B792"/>
  <c r="G792"/>
  <c r="A793"/>
  <c r="B793"/>
  <c r="G793"/>
  <c r="A794"/>
  <c r="B794"/>
  <c r="G794"/>
  <c r="A795"/>
  <c r="B795"/>
  <c r="G795"/>
  <c r="A796"/>
  <c r="B796"/>
  <c r="G796"/>
  <c r="A797"/>
  <c r="B797"/>
  <c r="G797"/>
  <c r="A798"/>
  <c r="B798"/>
  <c r="G798"/>
  <c r="A799"/>
  <c r="B799"/>
  <c r="G799"/>
  <c r="A800"/>
  <c r="B800"/>
  <c r="G800"/>
  <c r="A801"/>
  <c r="B801"/>
  <c r="G801"/>
  <c r="A802"/>
  <c r="B802"/>
  <c r="G802"/>
  <c r="A803"/>
  <c r="B803"/>
  <c r="G803"/>
  <c r="A804"/>
  <c r="B804"/>
  <c r="G804"/>
  <c r="A805"/>
  <c r="B805"/>
  <c r="G805"/>
  <c r="A806"/>
  <c r="B806"/>
  <c r="G806"/>
  <c r="A807"/>
  <c r="B807"/>
  <c r="G807"/>
  <c r="A808"/>
  <c r="B808"/>
  <c r="G808"/>
  <c r="A809"/>
  <c r="B809"/>
  <c r="G809"/>
  <c r="A810"/>
  <c r="B810"/>
  <c r="G810"/>
  <c r="A811"/>
  <c r="B811"/>
  <c r="G811"/>
  <c r="A812"/>
  <c r="B812"/>
  <c r="G812"/>
  <c r="A813"/>
  <c r="B813"/>
  <c r="G813"/>
  <c r="A814"/>
  <c r="B814"/>
  <c r="G814"/>
  <c r="A815"/>
  <c r="B815"/>
  <c r="G815"/>
  <c r="A816"/>
  <c r="B816"/>
  <c r="G816"/>
  <c r="A817"/>
  <c r="B817"/>
  <c r="G817"/>
  <c r="A818"/>
  <c r="B818"/>
  <c r="G818"/>
  <c r="A819"/>
  <c r="B819"/>
  <c r="G819"/>
  <c r="A820"/>
  <c r="B820"/>
  <c r="G820"/>
  <c r="A821"/>
  <c r="B821"/>
  <c r="G821"/>
  <c r="A822"/>
  <c r="B822"/>
  <c r="G822"/>
  <c r="A823"/>
  <c r="B823"/>
  <c r="G823"/>
  <c r="A824"/>
  <c r="B824"/>
  <c r="G824"/>
  <c r="A825"/>
  <c r="B825"/>
  <c r="G825"/>
  <c r="A826"/>
  <c r="B826"/>
  <c r="G826"/>
  <c r="A827"/>
  <c r="B827"/>
  <c r="G827"/>
  <c r="A828"/>
  <c r="B828"/>
  <c r="G828"/>
  <c r="A829"/>
  <c r="B829"/>
  <c r="G829"/>
  <c r="A830"/>
  <c r="B830"/>
  <c r="G830"/>
  <c r="A831"/>
  <c r="B831"/>
  <c r="G831"/>
  <c r="A832"/>
  <c r="B832"/>
  <c r="G832"/>
  <c r="A833"/>
  <c r="B833"/>
  <c r="G833"/>
  <c r="A834"/>
  <c r="B834"/>
  <c r="G834"/>
  <c r="A835"/>
  <c r="B835"/>
  <c r="G835"/>
  <c r="A836"/>
  <c r="B836"/>
  <c r="G836"/>
  <c r="A837"/>
  <c r="B837"/>
  <c r="G837"/>
  <c r="A838"/>
  <c r="B838"/>
  <c r="G838"/>
  <c r="A839"/>
  <c r="B839"/>
  <c r="G839"/>
  <c r="A840"/>
  <c r="B840"/>
  <c r="G840"/>
  <c r="A841"/>
  <c r="B841"/>
  <c r="G841"/>
  <c r="A842"/>
  <c r="B842"/>
  <c r="G842"/>
  <c r="A843"/>
  <c r="B843"/>
  <c r="G843"/>
  <c r="A844"/>
  <c r="B844"/>
  <c r="G844"/>
  <c r="A845"/>
  <c r="B845"/>
  <c r="G845"/>
  <c r="A846"/>
  <c r="B846"/>
  <c r="G846"/>
  <c r="A847"/>
  <c r="B847"/>
  <c r="G847"/>
  <c r="A848"/>
  <c r="B848"/>
  <c r="G848"/>
  <c r="A849"/>
  <c r="B849"/>
  <c r="G849"/>
  <c r="A850"/>
  <c r="B850"/>
  <c r="G850"/>
  <c r="A851"/>
  <c r="B851"/>
  <c r="G851"/>
  <c r="A852"/>
  <c r="B852"/>
  <c r="G852"/>
  <c r="A853"/>
  <c r="B853"/>
  <c r="G853"/>
  <c r="A854"/>
  <c r="B854"/>
  <c r="G854"/>
  <c r="A855"/>
  <c r="B855"/>
  <c r="G855"/>
  <c r="A856"/>
  <c r="B856"/>
  <c r="G856"/>
  <c r="A857"/>
  <c r="B857"/>
  <c r="G857"/>
  <c r="A858"/>
  <c r="B858"/>
  <c r="G858"/>
  <c r="A859"/>
  <c r="B859"/>
  <c r="G859"/>
  <c r="A860"/>
  <c r="B860"/>
  <c r="G860"/>
  <c r="A861"/>
  <c r="B861"/>
  <c r="G861"/>
  <c r="A862"/>
  <c r="B862"/>
  <c r="G862"/>
  <c r="A863"/>
  <c r="B863"/>
  <c r="G863"/>
  <c r="A864"/>
  <c r="B864"/>
  <c r="G864"/>
  <c r="A865"/>
  <c r="B865"/>
  <c r="G865"/>
  <c r="A866"/>
  <c r="B866"/>
  <c r="H866"/>
  <c r="A867"/>
  <c r="B867"/>
  <c r="G867"/>
  <c r="A868"/>
  <c r="B868"/>
  <c r="G868"/>
  <c r="A869"/>
  <c r="B869"/>
  <c r="G869"/>
  <c r="A870"/>
  <c r="B870"/>
  <c r="G870"/>
  <c r="A871"/>
  <c r="B871"/>
  <c r="G871"/>
  <c r="A872"/>
  <c r="B872"/>
  <c r="G872"/>
  <c r="A873"/>
  <c r="B873"/>
  <c r="G873"/>
  <c r="A874"/>
  <c r="B874"/>
  <c r="G874"/>
  <c r="A875"/>
  <c r="B875"/>
  <c r="G875"/>
  <c r="A876"/>
  <c r="B876"/>
  <c r="G876"/>
  <c r="A877"/>
  <c r="B877"/>
  <c r="G877"/>
  <c r="A878"/>
  <c r="B878"/>
  <c r="G878"/>
  <c r="A879"/>
  <c r="B879"/>
  <c r="G879"/>
  <c r="A880"/>
  <c r="B880"/>
  <c r="G880"/>
  <c r="A881"/>
  <c r="B881"/>
  <c r="G881"/>
  <c r="A882"/>
  <c r="B882"/>
  <c r="G882"/>
  <c r="A883"/>
  <c r="B883"/>
  <c r="H883"/>
  <c r="A884"/>
  <c r="B884"/>
  <c r="G884"/>
  <c r="A885"/>
  <c r="B885"/>
  <c r="H885"/>
  <c r="A886"/>
  <c r="B886"/>
  <c r="G886"/>
  <c r="A887"/>
  <c r="B887"/>
  <c r="G887"/>
  <c r="A888"/>
  <c r="B888"/>
  <c r="G888"/>
  <c r="A889"/>
  <c r="B889"/>
  <c r="G889"/>
  <c r="A890"/>
  <c r="B890"/>
  <c r="G890"/>
  <c r="A891"/>
  <c r="B891"/>
  <c r="G891"/>
  <c r="A892"/>
  <c r="B892"/>
  <c r="H892"/>
  <c r="A893"/>
  <c r="B893"/>
  <c r="G893"/>
  <c r="A894"/>
  <c r="B894"/>
  <c r="G894"/>
  <c r="A895"/>
  <c r="B895"/>
  <c r="G895"/>
  <c r="A896"/>
  <c r="B896"/>
  <c r="G896"/>
  <c r="A897"/>
  <c r="B897"/>
  <c r="G897"/>
  <c r="A898"/>
  <c r="B898"/>
  <c r="G898"/>
  <c r="A899"/>
  <c r="B899"/>
  <c r="G899"/>
  <c r="A900"/>
  <c r="B900"/>
  <c r="G900"/>
  <c r="A901"/>
  <c r="B901"/>
  <c r="G901"/>
  <c r="A902"/>
  <c r="B902"/>
  <c r="G902"/>
  <c r="A903"/>
  <c r="B903"/>
  <c r="G903"/>
  <c r="A904"/>
  <c r="B904"/>
  <c r="G904"/>
  <c r="A905"/>
  <c r="B905"/>
  <c r="G905"/>
  <c r="A906"/>
  <c r="B906"/>
  <c r="G906"/>
  <c r="A907"/>
  <c r="B907"/>
  <c r="G907"/>
  <c r="A908"/>
  <c r="B908"/>
  <c r="G908"/>
  <c r="A909"/>
  <c r="B909"/>
  <c r="G909"/>
  <c r="A910"/>
  <c r="B910"/>
  <c r="G910"/>
  <c r="A911"/>
  <c r="B911"/>
  <c r="G911"/>
  <c r="A912"/>
  <c r="B912"/>
  <c r="G912"/>
  <c r="A913"/>
  <c r="B913"/>
  <c r="G913"/>
  <c r="A914"/>
  <c r="B914"/>
  <c r="G914"/>
  <c r="A915"/>
  <c r="B915"/>
  <c r="G915"/>
  <c r="A916"/>
  <c r="B916"/>
  <c r="G916"/>
  <c r="A917"/>
  <c r="B917"/>
  <c r="G917"/>
  <c r="A918"/>
  <c r="B918"/>
  <c r="G918"/>
  <c r="A919"/>
  <c r="B919"/>
  <c r="G919"/>
  <c r="A920"/>
  <c r="B920"/>
  <c r="G920"/>
  <c r="A921"/>
  <c r="B921"/>
  <c r="G921"/>
  <c r="A922"/>
  <c r="B922"/>
  <c r="G922"/>
  <c r="A923"/>
  <c r="B923"/>
  <c r="G923"/>
  <c r="A924"/>
  <c r="B924"/>
  <c r="G924"/>
  <c r="A925"/>
  <c r="B925"/>
  <c r="G925"/>
  <c r="A926"/>
  <c r="B926"/>
  <c r="G926"/>
  <c r="A927"/>
  <c r="B927"/>
  <c r="G927"/>
  <c r="A928"/>
  <c r="B928"/>
  <c r="G928"/>
  <c r="A929"/>
  <c r="B929"/>
  <c r="G929"/>
  <c r="A930"/>
  <c r="B930"/>
  <c r="G930"/>
  <c r="A931"/>
  <c r="B931"/>
  <c r="G931"/>
  <c r="A932"/>
  <c r="B932"/>
  <c r="G932"/>
  <c r="A933"/>
  <c r="B933"/>
  <c r="G933"/>
  <c r="A934"/>
  <c r="B934"/>
  <c r="G934"/>
  <c r="A935"/>
  <c r="B935"/>
  <c r="G935"/>
  <c r="A936"/>
  <c r="B936"/>
  <c r="G936"/>
  <c r="A937"/>
  <c r="B937"/>
  <c r="G937"/>
  <c r="A938"/>
  <c r="B938"/>
  <c r="G938"/>
  <c r="A939"/>
  <c r="B939"/>
  <c r="G939"/>
  <c r="A940"/>
  <c r="B940"/>
  <c r="G940"/>
  <c r="A941"/>
  <c r="B941"/>
  <c r="G941"/>
  <c r="A942"/>
  <c r="B942"/>
  <c r="G942"/>
  <c r="A943"/>
  <c r="B943"/>
  <c r="G943"/>
  <c r="A944"/>
  <c r="B944"/>
  <c r="G944"/>
  <c r="A945"/>
  <c r="B945"/>
  <c r="G945"/>
  <c r="A946"/>
  <c r="B946"/>
  <c r="G946"/>
  <c r="A947"/>
  <c r="B947"/>
  <c r="G947"/>
  <c r="A948"/>
  <c r="B948"/>
  <c r="G948"/>
  <c r="A949"/>
  <c r="B949"/>
  <c r="H949"/>
  <c r="A950"/>
  <c r="B950"/>
  <c r="H950"/>
  <c r="A951"/>
  <c r="B951"/>
  <c r="G951"/>
  <c r="A952"/>
  <c r="B952"/>
  <c r="G952"/>
  <c r="A953"/>
  <c r="B953"/>
  <c r="G953"/>
  <c r="A954"/>
  <c r="B954"/>
  <c r="G954"/>
  <c r="A955"/>
  <c r="B955"/>
  <c r="G955"/>
  <c r="A956"/>
  <c r="B956"/>
  <c r="G956"/>
  <c r="A957"/>
  <c r="B957"/>
  <c r="G957"/>
  <c r="A958"/>
  <c r="B958"/>
  <c r="G958"/>
  <c r="A959"/>
  <c r="B959"/>
  <c r="G959"/>
  <c r="A960"/>
  <c r="B960"/>
  <c r="G960"/>
  <c r="A961"/>
  <c r="B961"/>
  <c r="G961"/>
  <c r="A962"/>
  <c r="B962"/>
  <c r="G962"/>
  <c r="A963"/>
  <c r="B963"/>
  <c r="G963"/>
  <c r="A964"/>
  <c r="B964"/>
  <c r="G964"/>
  <c r="A965"/>
  <c r="B965"/>
  <c r="G965"/>
  <c r="A966"/>
  <c r="B966"/>
  <c r="G966"/>
  <c r="A967"/>
  <c r="B967"/>
  <c r="G967"/>
  <c r="A968"/>
  <c r="B968"/>
  <c r="G968"/>
  <c r="A969"/>
  <c r="B969"/>
  <c r="G969"/>
  <c r="A970"/>
  <c r="B970"/>
  <c r="G970"/>
  <c r="A971"/>
  <c r="B971"/>
  <c r="G971"/>
  <c r="A972"/>
  <c r="B972"/>
  <c r="G972"/>
  <c r="A973"/>
  <c r="B973"/>
  <c r="G973"/>
  <c r="A974"/>
  <c r="B974"/>
  <c r="G974"/>
  <c r="A975"/>
  <c r="B975"/>
  <c r="G975"/>
  <c r="A976"/>
  <c r="B976"/>
  <c r="G976"/>
  <c r="A977"/>
  <c r="B977"/>
  <c r="G977"/>
  <c r="A978"/>
  <c r="B978"/>
  <c r="G978"/>
  <c r="A979"/>
  <c r="B979"/>
  <c r="G979"/>
  <c r="A980"/>
  <c r="B980"/>
  <c r="G980"/>
  <c r="A981"/>
  <c r="B981"/>
  <c r="G981"/>
  <c r="A982"/>
  <c r="B982"/>
  <c r="G982"/>
  <c r="A983"/>
  <c r="B983"/>
  <c r="G983"/>
  <c r="A984"/>
  <c r="B984"/>
  <c r="G984"/>
  <c r="A985"/>
  <c r="B985"/>
  <c r="G985"/>
  <c r="A986"/>
  <c r="B986"/>
  <c r="G986"/>
  <c r="A987"/>
  <c r="B987"/>
  <c r="G987"/>
  <c r="A988"/>
  <c r="B988"/>
  <c r="G988"/>
  <c r="A989"/>
  <c r="B989"/>
  <c r="G989"/>
  <c r="A990"/>
  <c r="B990"/>
  <c r="G990"/>
  <c r="A991"/>
  <c r="B991"/>
  <c r="G991"/>
  <c r="A992"/>
  <c r="B992"/>
  <c r="G992"/>
  <c r="A993"/>
  <c r="B993"/>
  <c r="G993"/>
  <c r="A994"/>
  <c r="B994"/>
  <c r="G994"/>
  <c r="A995"/>
  <c r="B995"/>
  <c r="G995"/>
  <c r="A996"/>
  <c r="B996"/>
  <c r="G996"/>
  <c r="A997"/>
  <c r="B997"/>
  <c r="G997"/>
  <c r="A998"/>
  <c r="B998"/>
  <c r="G998"/>
  <c r="A999"/>
  <c r="B999"/>
  <c r="G999"/>
  <c r="A1000"/>
  <c r="B1000"/>
  <c r="G1000"/>
  <c r="A1001"/>
  <c r="B1001"/>
  <c r="G1001"/>
  <c r="A1002"/>
  <c r="B1002"/>
  <c r="G1002"/>
  <c r="A1003"/>
  <c r="B1003"/>
  <c r="G1003"/>
  <c r="A1004"/>
  <c r="B1004"/>
  <c r="G1004"/>
  <c r="A1005"/>
  <c r="B1005"/>
  <c r="G1005"/>
  <c r="A1006"/>
  <c r="B1006"/>
  <c r="G1006"/>
  <c r="A1007"/>
  <c r="B1007"/>
  <c r="G1007"/>
  <c r="A1008"/>
  <c r="B1008"/>
  <c r="G1008"/>
  <c r="A1009"/>
  <c r="B1009"/>
  <c r="G1009"/>
  <c r="A1010"/>
  <c r="B1010"/>
  <c r="G1010"/>
  <c r="A1011"/>
  <c r="B1011"/>
  <c r="G1011"/>
  <c r="A1012"/>
  <c r="B1012"/>
  <c r="G1012"/>
  <c r="A1013"/>
  <c r="B1013"/>
  <c r="G1013"/>
  <c r="A1014"/>
  <c r="B1014"/>
  <c r="H1014"/>
  <c r="A1015"/>
  <c r="B1015"/>
  <c r="G1015"/>
  <c r="A1016"/>
  <c r="B1016"/>
  <c r="G1016"/>
  <c r="A1017"/>
  <c r="B1017"/>
  <c r="G1017"/>
  <c r="A1018"/>
  <c r="B1018"/>
  <c r="G1018"/>
  <c r="A1019"/>
  <c r="B1019"/>
  <c r="G1019"/>
  <c r="A1020"/>
  <c r="B1020"/>
  <c r="G1020"/>
  <c r="A1021"/>
  <c r="B1021"/>
  <c r="G1021"/>
  <c r="A1022"/>
  <c r="B1022"/>
  <c r="G1022"/>
  <c r="A1023"/>
  <c r="B1023"/>
  <c r="G1023"/>
  <c r="A1024"/>
  <c r="B1024"/>
  <c r="G1024"/>
  <c r="A1025"/>
  <c r="B1025"/>
  <c r="G1025"/>
  <c r="A1026"/>
  <c r="B1026"/>
  <c r="G1026"/>
  <c r="A1027"/>
  <c r="B1027"/>
  <c r="G1027"/>
  <c r="A1028"/>
  <c r="B1028"/>
  <c r="G1028"/>
  <c r="A1029"/>
  <c r="B1029"/>
  <c r="G1029"/>
  <c r="A1030"/>
  <c r="B1030"/>
  <c r="G1030"/>
  <c r="A1031"/>
  <c r="B1031"/>
  <c r="G1031"/>
  <c r="A1032"/>
  <c r="B1032"/>
  <c r="G1032"/>
  <c r="A1033"/>
  <c r="B1033"/>
  <c r="G1033"/>
  <c r="A1034"/>
  <c r="B1034"/>
  <c r="G1034"/>
  <c r="A1035"/>
  <c r="B1035"/>
  <c r="G1035"/>
  <c r="A1036"/>
  <c r="B1036"/>
  <c r="G1036"/>
  <c r="A1037"/>
  <c r="B1037"/>
  <c r="G1037"/>
  <c r="A1038"/>
  <c r="B1038"/>
  <c r="G1038"/>
  <c r="A1039"/>
  <c r="B1039"/>
  <c r="G1039"/>
  <c r="A1040"/>
  <c r="B1040"/>
  <c r="G1040"/>
  <c r="A1041"/>
  <c r="B1041"/>
  <c r="G1041"/>
  <c r="A1042"/>
  <c r="B1042"/>
  <c r="G1042"/>
  <c r="A1043"/>
  <c r="B1043"/>
  <c r="G1043"/>
  <c r="A1044"/>
  <c r="B1044"/>
  <c r="G1044"/>
  <c r="A1045"/>
  <c r="B1045"/>
  <c r="G1045"/>
  <c r="A1046"/>
  <c r="B1046"/>
  <c r="G1046"/>
  <c r="A1047"/>
  <c r="B1047"/>
  <c r="G1047"/>
  <c r="A1048"/>
  <c r="B1048"/>
  <c r="G1048"/>
  <c r="A1049"/>
  <c r="B1049"/>
  <c r="G1049"/>
  <c r="A1050"/>
  <c r="B1050"/>
  <c r="G1050"/>
  <c r="A1051"/>
  <c r="B1051"/>
  <c r="G1051"/>
  <c r="A1052"/>
  <c r="B1052"/>
  <c r="G1052"/>
  <c r="A1053"/>
  <c r="B1053"/>
  <c r="G1053"/>
  <c r="A1054"/>
  <c r="B1054"/>
  <c r="G1054"/>
  <c r="A1055"/>
  <c r="B1055"/>
  <c r="G1055"/>
  <c r="A1056"/>
  <c r="B1056"/>
  <c r="G1056"/>
  <c r="A1057"/>
  <c r="B1057"/>
  <c r="G1057"/>
  <c r="A1058"/>
  <c r="B1058"/>
  <c r="G1058"/>
  <c r="A1059"/>
  <c r="B1059"/>
  <c r="G1059"/>
  <c r="A1060"/>
  <c r="B1060"/>
  <c r="G1060"/>
  <c r="A1061"/>
  <c r="B1061"/>
  <c r="G1061"/>
  <c r="A1062"/>
  <c r="B1062"/>
  <c r="G1062"/>
  <c r="A1063"/>
  <c r="B1063"/>
  <c r="G1063"/>
  <c r="A1064"/>
  <c r="B1064"/>
  <c r="G1064"/>
  <c r="A1065"/>
  <c r="B1065"/>
  <c r="G1065"/>
  <c r="A1066"/>
  <c r="B1066"/>
  <c r="G1066"/>
  <c r="A1067"/>
  <c r="B1067"/>
  <c r="G1067"/>
  <c r="A1068"/>
  <c r="B1068"/>
  <c r="G1068"/>
  <c r="A1069"/>
  <c r="B1069"/>
  <c r="G1069"/>
  <c r="A1070"/>
  <c r="B1070"/>
  <c r="G1070"/>
  <c r="A1071"/>
  <c r="B1071"/>
  <c r="G1071"/>
  <c r="A1072"/>
  <c r="B1072"/>
  <c r="G1072"/>
  <c r="A1073"/>
  <c r="B1073"/>
  <c r="G1073"/>
  <c r="A1074"/>
  <c r="B1074"/>
  <c r="G1074"/>
  <c r="A1075"/>
  <c r="B1075"/>
  <c r="G1075"/>
  <c r="A1076"/>
  <c r="B1076"/>
  <c r="H1076"/>
  <c r="A1077"/>
  <c r="B1077"/>
  <c r="G1077"/>
  <c r="A1078"/>
  <c r="B1078"/>
  <c r="G1078"/>
  <c r="A1079"/>
  <c r="B1079"/>
  <c r="G1079"/>
  <c r="A1080"/>
  <c r="B1080"/>
  <c r="G1080"/>
  <c r="A1081"/>
  <c r="B1081"/>
  <c r="G1081"/>
  <c r="A1082"/>
  <c r="B1082"/>
  <c r="G1082"/>
  <c r="A1083"/>
  <c r="B1083"/>
  <c r="G1083"/>
  <c r="A1084"/>
  <c r="B1084"/>
  <c r="G1084"/>
  <c r="A1085"/>
  <c r="B1085"/>
  <c r="G1085"/>
  <c r="A1086"/>
  <c r="B1086"/>
  <c r="G1086"/>
  <c r="A1087"/>
  <c r="B1087"/>
  <c r="G1087"/>
  <c r="A1088"/>
  <c r="B1088"/>
  <c r="G1088"/>
  <c r="A1089"/>
  <c r="B1089"/>
  <c r="G1089"/>
  <c r="A1090"/>
  <c r="B1090"/>
  <c r="G1090"/>
  <c r="A1091"/>
  <c r="B1091"/>
  <c r="G1091"/>
  <c r="A1092"/>
  <c r="B1092"/>
  <c r="G1092"/>
  <c r="A1093"/>
  <c r="B1093"/>
  <c r="G1093"/>
  <c r="A1094"/>
  <c r="B1094"/>
  <c r="G1094"/>
  <c r="A1095"/>
  <c r="B1095"/>
  <c r="G1095"/>
  <c r="A1096"/>
  <c r="B1096"/>
  <c r="G1096"/>
  <c r="A1097"/>
  <c r="B1097"/>
  <c r="G1097"/>
  <c r="A1098"/>
  <c r="B1098"/>
  <c r="G1098"/>
  <c r="A1099"/>
  <c r="B1099"/>
  <c r="G1099"/>
  <c r="A1100"/>
  <c r="B1100"/>
  <c r="G1100"/>
  <c r="A1101"/>
  <c r="B1101"/>
  <c r="G1101"/>
  <c r="A1102"/>
  <c r="B1102"/>
  <c r="G1102"/>
  <c r="A1103"/>
  <c r="B1103"/>
  <c r="G1103"/>
  <c r="A1104"/>
  <c r="B1104"/>
  <c r="G1104"/>
  <c r="A1105"/>
  <c r="B1105"/>
  <c r="G1105"/>
  <c r="A1106"/>
  <c r="B1106"/>
  <c r="G1106"/>
  <c r="A1107"/>
  <c r="B1107"/>
  <c r="G1107"/>
  <c r="A1108"/>
  <c r="B1108"/>
  <c r="G1108"/>
  <c r="A1109"/>
  <c r="B1109"/>
  <c r="G1109"/>
  <c r="A1110"/>
  <c r="B1110"/>
  <c r="G1110"/>
  <c r="A1111"/>
  <c r="B1111"/>
  <c r="G1111"/>
  <c r="A1112"/>
  <c r="B1112"/>
  <c r="G1112"/>
  <c r="A1113"/>
  <c r="B1113"/>
  <c r="G1113"/>
  <c r="A1114"/>
  <c r="B1114"/>
  <c r="G1114"/>
  <c r="A1115"/>
  <c r="B1115"/>
  <c r="G1115"/>
  <c r="A1116"/>
  <c r="B1116"/>
  <c r="G1116"/>
  <c r="A1117"/>
  <c r="B1117"/>
  <c r="G1117"/>
  <c r="A1118"/>
  <c r="B1118"/>
  <c r="G1118"/>
  <c r="A1119"/>
  <c r="B1119"/>
  <c r="G1119"/>
  <c r="A1120"/>
  <c r="B1120"/>
  <c r="G1120"/>
  <c r="A1121"/>
  <c r="B1121"/>
  <c r="G1121"/>
  <c r="A1122"/>
  <c r="B1122"/>
  <c r="G1122"/>
  <c r="A1123"/>
  <c r="B1123"/>
  <c r="G1123"/>
  <c r="A1124"/>
  <c r="B1124"/>
  <c r="G1124"/>
  <c r="A1125"/>
  <c r="B1125"/>
  <c r="G1125"/>
  <c r="A1126"/>
  <c r="B1126"/>
  <c r="G1126"/>
  <c r="A1127"/>
  <c r="B1127"/>
  <c r="G1127"/>
  <c r="A1128"/>
  <c r="B1128"/>
  <c r="G1128"/>
  <c r="A1129"/>
  <c r="B1129"/>
  <c r="G1129"/>
  <c r="A1130"/>
  <c r="B1130"/>
  <c r="G1130"/>
  <c r="A1131"/>
  <c r="B1131"/>
  <c r="G1131"/>
  <c r="A1132"/>
  <c r="B1132"/>
  <c r="G1132"/>
  <c r="A1133"/>
  <c r="B1133"/>
  <c r="G1133"/>
  <c r="A1134"/>
  <c r="B1134"/>
  <c r="G1134"/>
  <c r="A1135"/>
  <c r="B1135"/>
  <c r="G1135"/>
  <c r="A1136"/>
  <c r="B1136"/>
  <c r="G1136"/>
  <c r="A1137"/>
  <c r="B1137"/>
  <c r="G1137"/>
  <c r="A1138"/>
  <c r="B1138"/>
  <c r="G1138"/>
  <c r="A1139"/>
  <c r="B1139"/>
  <c r="G1139"/>
  <c r="A1140"/>
  <c r="B1140"/>
  <c r="G1140"/>
  <c r="A1141"/>
  <c r="B1141"/>
  <c r="G1141"/>
  <c r="A1142"/>
  <c r="B1142"/>
  <c r="G1142"/>
  <c r="A1143"/>
  <c r="B1143"/>
  <c r="G1143"/>
  <c r="A1144"/>
  <c r="B1144"/>
  <c r="G1144"/>
  <c r="A1145"/>
  <c r="B1145"/>
  <c r="G1145"/>
  <c r="A1146"/>
  <c r="B1146"/>
  <c r="G1146"/>
  <c r="A1147"/>
  <c r="B1147"/>
  <c r="G1147"/>
  <c r="A1148"/>
  <c r="B1148"/>
  <c r="G1148"/>
  <c r="A1149"/>
  <c r="B1149"/>
  <c r="G1149"/>
  <c r="A1150"/>
  <c r="B1150"/>
  <c r="G1150"/>
  <c r="A1151"/>
  <c r="B1151"/>
  <c r="G1151"/>
  <c r="A1152"/>
  <c r="B1152"/>
  <c r="G1152"/>
  <c r="A1153"/>
  <c r="B1153"/>
  <c r="G1153"/>
  <c r="A1154"/>
  <c r="B1154"/>
  <c r="G1154"/>
  <c r="A1155"/>
  <c r="B1155"/>
  <c r="G1155"/>
  <c r="A1156"/>
  <c r="B1156"/>
  <c r="G1156"/>
  <c r="A1157"/>
  <c r="B1157"/>
  <c r="G1157"/>
  <c r="A1158"/>
  <c r="B1158"/>
  <c r="G1158"/>
  <c r="A1159"/>
  <c r="B1159"/>
  <c r="G1159"/>
  <c r="A1160"/>
  <c r="B1160"/>
  <c r="G1160"/>
  <c r="A1161"/>
  <c r="B1161"/>
  <c r="G1161"/>
  <c r="A1162"/>
  <c r="B1162"/>
  <c r="G1162"/>
  <c r="A1163"/>
  <c r="B1163"/>
  <c r="G1163"/>
  <c r="A1164"/>
  <c r="B1164"/>
  <c r="G1164"/>
  <c r="A1165"/>
  <c r="B1165"/>
  <c r="G1165"/>
  <c r="A1166"/>
  <c r="B1166"/>
  <c r="G1166"/>
  <c r="A1167"/>
  <c r="B1167"/>
  <c r="G1167"/>
  <c r="A1168"/>
  <c r="B1168"/>
  <c r="G1168"/>
  <c r="A1169"/>
  <c r="B1169"/>
  <c r="G1169"/>
  <c r="A1170"/>
  <c r="B1170"/>
  <c r="G1170"/>
  <c r="A1171"/>
  <c r="B1171"/>
  <c r="G1171"/>
  <c r="A1172"/>
  <c r="B1172"/>
  <c r="G1172"/>
  <c r="A1173"/>
  <c r="B1173"/>
  <c r="G1173"/>
  <c r="A1174"/>
  <c r="B1174"/>
  <c r="G1174"/>
  <c r="A1175"/>
  <c r="B1175"/>
  <c r="G1175"/>
  <c r="A1176"/>
  <c r="B1176"/>
  <c r="G1176"/>
  <c r="A1177"/>
  <c r="B1177"/>
  <c r="G1177"/>
  <c r="A1178"/>
  <c r="B1178"/>
  <c r="G1178"/>
  <c r="A1179"/>
  <c r="B1179"/>
  <c r="G1179"/>
  <c r="A1180"/>
  <c r="B1180"/>
  <c r="G1180"/>
  <c r="A1181"/>
  <c r="B1181"/>
  <c r="G1181"/>
  <c r="A1182"/>
  <c r="B1182"/>
  <c r="G1182"/>
  <c r="A1183"/>
  <c r="B1183"/>
  <c r="G1183"/>
  <c r="A1184"/>
  <c r="B1184"/>
  <c r="G1184"/>
  <c r="A1185"/>
  <c r="B1185"/>
  <c r="G1185"/>
  <c r="A1186"/>
  <c r="B1186"/>
  <c r="G1186"/>
  <c r="A1187"/>
  <c r="B1187"/>
  <c r="G1187"/>
  <c r="A1188"/>
  <c r="B1188"/>
  <c r="G1188"/>
  <c r="A1189"/>
  <c r="B1189"/>
  <c r="G1189"/>
  <c r="A1190"/>
  <c r="B1190"/>
  <c r="G1190"/>
  <c r="A1191"/>
  <c r="B1191"/>
  <c r="G1191"/>
  <c r="A1192"/>
  <c r="B1192"/>
  <c r="G1192"/>
  <c r="A1193"/>
  <c r="B1193"/>
  <c r="G1193"/>
  <c r="A1194"/>
  <c r="B1194"/>
  <c r="G1194"/>
  <c r="A1195"/>
  <c r="B1195"/>
  <c r="G1195"/>
  <c r="A1196"/>
  <c r="B1196"/>
  <c r="G1196"/>
  <c r="A1197"/>
  <c r="B1197"/>
  <c r="G1197"/>
  <c r="A1198"/>
  <c r="B1198"/>
  <c r="G1198"/>
  <c r="A1199"/>
  <c r="B1199"/>
  <c r="G1199"/>
  <c r="A1200"/>
  <c r="B1200"/>
  <c r="G1200"/>
  <c r="A1201"/>
  <c r="B1201"/>
  <c r="G1201"/>
  <c r="A1202"/>
  <c r="B1202"/>
  <c r="G1202"/>
  <c r="A1203"/>
  <c r="B1203"/>
  <c r="G1203"/>
  <c r="A1204"/>
  <c r="B1204"/>
  <c r="G1204"/>
  <c r="A1205"/>
  <c r="B1205"/>
  <c r="G1205"/>
  <c r="A1206"/>
  <c r="B1206"/>
  <c r="H1206"/>
  <c r="A1207"/>
  <c r="B1207"/>
  <c r="H1207"/>
  <c r="A1208"/>
  <c r="B1208"/>
  <c r="G1208"/>
  <c r="A1209"/>
  <c r="B1209"/>
  <c r="G1209"/>
  <c r="A1210"/>
  <c r="B1210"/>
  <c r="G1210"/>
  <c r="A1211"/>
  <c r="B1211"/>
  <c r="G1211"/>
  <c r="A1212"/>
  <c r="B1212"/>
  <c r="G1212"/>
  <c r="A1213"/>
  <c r="B1213"/>
  <c r="G1213"/>
  <c r="A1214"/>
  <c r="B1214"/>
  <c r="G1214"/>
  <c r="A1215"/>
  <c r="B1215"/>
  <c r="G1215"/>
  <c r="A1216"/>
  <c r="B1216"/>
  <c r="G1216"/>
  <c r="A1217"/>
  <c r="B1217"/>
  <c r="G1217"/>
  <c r="A1218"/>
  <c r="B1218"/>
  <c r="G1218"/>
  <c r="A1219"/>
  <c r="B1219"/>
  <c r="G1219"/>
  <c r="A1220"/>
  <c r="B1220"/>
  <c r="G1220"/>
  <c r="A1221"/>
  <c r="B1221"/>
  <c r="G1221"/>
  <c r="A1222"/>
  <c r="B1222"/>
  <c r="G1222"/>
  <c r="A1223"/>
  <c r="B1223"/>
  <c r="G1223"/>
  <c r="A1224"/>
  <c r="B1224"/>
  <c r="G1224"/>
  <c r="A1225"/>
  <c r="B1225"/>
  <c r="G1225"/>
  <c r="A1226"/>
  <c r="B1226"/>
  <c r="G1226"/>
  <c r="A1227"/>
  <c r="B1227"/>
  <c r="G1227"/>
  <c r="A1228"/>
  <c r="B1228"/>
  <c r="G1228"/>
  <c r="A1229"/>
  <c r="B1229"/>
  <c r="G1229"/>
  <c r="A1230"/>
  <c r="B1230"/>
  <c r="G1230"/>
  <c r="A1231"/>
  <c r="B1231"/>
  <c r="G1231"/>
  <c r="A1232"/>
  <c r="B1232"/>
  <c r="G1232"/>
  <c r="A1233"/>
  <c r="B1233"/>
  <c r="G1233"/>
  <c r="A1234"/>
  <c r="B1234"/>
  <c r="G1234"/>
  <c r="A1235"/>
  <c r="B1235"/>
  <c r="G1235"/>
  <c r="A1236"/>
  <c r="B1236"/>
  <c r="G1236"/>
  <c r="A1237"/>
  <c r="B1237"/>
  <c r="G1237"/>
  <c r="A1238"/>
  <c r="B1238"/>
  <c r="H1238"/>
  <c r="A1239"/>
  <c r="B1239"/>
  <c r="G1239"/>
  <c r="A1240"/>
  <c r="B1240"/>
  <c r="G1240"/>
  <c r="A1241"/>
  <c r="B1241"/>
  <c r="G1241"/>
  <c r="A1242"/>
  <c r="B1242"/>
  <c r="G1242"/>
  <c r="A1243"/>
  <c r="B1243"/>
  <c r="G1243"/>
  <c r="A1244"/>
  <c r="B1244"/>
  <c r="G1244"/>
  <c r="A1245"/>
  <c r="B1245"/>
  <c r="G1245"/>
  <c r="A1246"/>
  <c r="B1246"/>
  <c r="G1246"/>
  <c r="A1247"/>
  <c r="B1247"/>
  <c r="G1247"/>
  <c r="A1248"/>
  <c r="B1248"/>
  <c r="G1248"/>
  <c r="A1249"/>
  <c r="B1249"/>
  <c r="G1249"/>
  <c r="A1250"/>
  <c r="B1250"/>
  <c r="G1250"/>
  <c r="A1251"/>
  <c r="B1251"/>
  <c r="G1251"/>
  <c r="A1252"/>
  <c r="B1252"/>
  <c r="G1252"/>
  <c r="A1253"/>
  <c r="B1253"/>
  <c r="G1253"/>
  <c r="A1254"/>
  <c r="B1254"/>
  <c r="G1254"/>
  <c r="A1255"/>
  <c r="B1255"/>
  <c r="G1255"/>
  <c r="A1256"/>
  <c r="B1256"/>
  <c r="G1256"/>
  <c r="A1257"/>
  <c r="B1257"/>
  <c r="G1257"/>
  <c r="A1258"/>
  <c r="B1258"/>
  <c r="G1258"/>
  <c r="A1259"/>
  <c r="B1259"/>
  <c r="G1259"/>
  <c r="A1260"/>
  <c r="B1260"/>
  <c r="G1260"/>
  <c r="A1261"/>
  <c r="B1261"/>
  <c r="G1261"/>
  <c r="A1262"/>
  <c r="B1262"/>
  <c r="G1262"/>
  <c r="A1263"/>
  <c r="B1263"/>
  <c r="G1263"/>
  <c r="A1264"/>
  <c r="B1264"/>
  <c r="G1264"/>
  <c r="A1265"/>
  <c r="B1265"/>
  <c r="G1265"/>
  <c r="A1266"/>
  <c r="B1266"/>
  <c r="G1266"/>
  <c r="A1267"/>
  <c r="B1267"/>
  <c r="G1267"/>
  <c r="A1268"/>
  <c r="B1268"/>
  <c r="G1268"/>
  <c r="A1269"/>
  <c r="B1269"/>
  <c r="G1269"/>
  <c r="A1270"/>
  <c r="B1270"/>
  <c r="G1270"/>
  <c r="A1271"/>
  <c r="B1271"/>
  <c r="G1271"/>
  <c r="A1272"/>
  <c r="B1272"/>
  <c r="G1272"/>
  <c r="A1273"/>
  <c r="B1273"/>
  <c r="G1273"/>
  <c r="A1274"/>
  <c r="B1274"/>
  <c r="G1274"/>
  <c r="A1275"/>
  <c r="B1275"/>
  <c r="G1275"/>
  <c r="A1276"/>
  <c r="B1276"/>
  <c r="G1276"/>
  <c r="A1277"/>
  <c r="B1277"/>
  <c r="G1277"/>
  <c r="A1278"/>
  <c r="B1278"/>
  <c r="G1278"/>
  <c r="A1279"/>
  <c r="B1279"/>
  <c r="G1279"/>
  <c r="A1280"/>
  <c r="B1280"/>
  <c r="G1280"/>
  <c r="A1281"/>
  <c r="B1281"/>
  <c r="G1281"/>
  <c r="A1282"/>
  <c r="B1282"/>
  <c r="G1282"/>
  <c r="A1283"/>
  <c r="B1283"/>
  <c r="G1283"/>
  <c r="A1284"/>
  <c r="B1284"/>
  <c r="G1284"/>
  <c r="A1285"/>
  <c r="B1285"/>
  <c r="G1285"/>
  <c r="A1286"/>
  <c r="B1286"/>
  <c r="G1286"/>
  <c r="A1287"/>
  <c r="B1287"/>
  <c r="G1287"/>
  <c r="A1288"/>
  <c r="B1288"/>
  <c r="G1288"/>
  <c r="A1289"/>
  <c r="B1289"/>
  <c r="G1289"/>
  <c r="A1290"/>
  <c r="B1290"/>
  <c r="G1290"/>
  <c r="A1291"/>
  <c r="B1291"/>
  <c r="G1291"/>
  <c r="A1292"/>
  <c r="B1292"/>
  <c r="G1292"/>
  <c r="A1293"/>
  <c r="B1293"/>
  <c r="G1293"/>
  <c r="A1294"/>
  <c r="B1294"/>
  <c r="G1294"/>
  <c r="A1295"/>
  <c r="B1295"/>
  <c r="G1295"/>
  <c r="A1296"/>
  <c r="B1296"/>
  <c r="G1296"/>
  <c r="A1297"/>
  <c r="B1297"/>
  <c r="G1297"/>
  <c r="A1298"/>
  <c r="B1298"/>
  <c r="G1298"/>
  <c r="A1299"/>
  <c r="B1299"/>
  <c r="G1299"/>
  <c r="A1300"/>
  <c r="B1300"/>
  <c r="G1300"/>
  <c r="A1301"/>
  <c r="B1301"/>
  <c r="G1301"/>
  <c r="A1302"/>
  <c r="B1302"/>
  <c r="G1302"/>
  <c r="A1303"/>
  <c r="B1303"/>
  <c r="G1303"/>
  <c r="A1304"/>
  <c r="B1304"/>
  <c r="G1304"/>
  <c r="A1305"/>
  <c r="B1305"/>
  <c r="G1305"/>
  <c r="A1306"/>
  <c r="B1306"/>
  <c r="G1306"/>
  <c r="A1307"/>
  <c r="B1307"/>
  <c r="G1307"/>
  <c r="A1308"/>
  <c r="B1308"/>
  <c r="G1308"/>
  <c r="A1309"/>
  <c r="B1309"/>
  <c r="G1309"/>
  <c r="A1310"/>
  <c r="B1310"/>
  <c r="G1310"/>
  <c r="A1311"/>
  <c r="B1311"/>
  <c r="G1311"/>
  <c r="A1312"/>
  <c r="B1312"/>
  <c r="G1312"/>
  <c r="A1313"/>
  <c r="B1313"/>
  <c r="G1313"/>
  <c r="A1314"/>
  <c r="B1314"/>
  <c r="G1314"/>
  <c r="A1315"/>
  <c r="B1315"/>
  <c r="G1315"/>
  <c r="A1316"/>
  <c r="B1316"/>
  <c r="G1316"/>
  <c r="A1317"/>
  <c r="B1317"/>
  <c r="G1317"/>
  <c r="A1318"/>
  <c r="B1318"/>
  <c r="G1318"/>
  <c r="A1319"/>
  <c r="B1319"/>
  <c r="G1319"/>
  <c r="A1320"/>
  <c r="B1320"/>
  <c r="G1320"/>
  <c r="A1321"/>
  <c r="B1321"/>
  <c r="G1321"/>
  <c r="A1322"/>
  <c r="B1322"/>
  <c r="H1322"/>
  <c r="A1323"/>
  <c r="B1323"/>
  <c r="G1323"/>
  <c r="A1324"/>
  <c r="B1324"/>
  <c r="G1324"/>
  <c r="A1325"/>
  <c r="B1325"/>
  <c r="G1325"/>
  <c r="A1326"/>
  <c r="B1326"/>
  <c r="H1326"/>
  <c r="A1327"/>
  <c r="B1327"/>
  <c r="G1327"/>
  <c r="A1328"/>
  <c r="B1328"/>
  <c r="G1328"/>
  <c r="A1329"/>
  <c r="B1329"/>
  <c r="G1329"/>
  <c r="A1330"/>
  <c r="B1330"/>
  <c r="G1330"/>
  <c r="A1331"/>
  <c r="B1331"/>
  <c r="G1331"/>
  <c r="A1332"/>
  <c r="B1332"/>
  <c r="G1332"/>
  <c r="A1333"/>
  <c r="B1333"/>
  <c r="G1333"/>
  <c r="A1334"/>
  <c r="B1334"/>
  <c r="G1334"/>
  <c r="A1335"/>
  <c r="B1335"/>
  <c r="G1335"/>
  <c r="A1336"/>
  <c r="B1336"/>
  <c r="G1336"/>
  <c r="A1337"/>
  <c r="B1337"/>
  <c r="G1337"/>
  <c r="A1338"/>
  <c r="B1338"/>
  <c r="G1338"/>
  <c r="A1339"/>
  <c r="B1339"/>
  <c r="G1339"/>
  <c r="A1340"/>
  <c r="B1340"/>
  <c r="G1340"/>
  <c r="A1341"/>
  <c r="B1341"/>
  <c r="G1341"/>
  <c r="A1342"/>
  <c r="B1342"/>
  <c r="G1342"/>
  <c r="A1343"/>
  <c r="B1343"/>
  <c r="G1343"/>
  <c r="A1344"/>
  <c r="B1344"/>
  <c r="G1344"/>
  <c r="A1345"/>
  <c r="B1345"/>
  <c r="G1345"/>
  <c r="A1346"/>
  <c r="B1346"/>
  <c r="G1346"/>
  <c r="A1347"/>
  <c r="B1347"/>
  <c r="G1347"/>
  <c r="A1348"/>
  <c r="B1348"/>
  <c r="G1348"/>
  <c r="A1349"/>
  <c r="B1349"/>
  <c r="G1349"/>
  <c r="A1350"/>
  <c r="B1350"/>
  <c r="G1350"/>
  <c r="A1351"/>
  <c r="B1351"/>
  <c r="G1351"/>
  <c r="A1352"/>
  <c r="B1352"/>
  <c r="G1352"/>
  <c r="A1353"/>
  <c r="B1353"/>
  <c r="G1353"/>
  <c r="A1354"/>
  <c r="B1354"/>
  <c r="G1354"/>
  <c r="A1355"/>
  <c r="B1355"/>
  <c r="G1355"/>
  <c r="A1356"/>
  <c r="B1356"/>
  <c r="G1356"/>
  <c r="A1357"/>
  <c r="B1357"/>
  <c r="G1357"/>
  <c r="A1358"/>
  <c r="B1358"/>
  <c r="G1358"/>
  <c r="A1359"/>
  <c r="B1359"/>
  <c r="G1359"/>
  <c r="A1360"/>
  <c r="B1360"/>
  <c r="G1360"/>
  <c r="A1361"/>
  <c r="B1361"/>
  <c r="G1361"/>
  <c r="A1362"/>
  <c r="B1362"/>
  <c r="G1362"/>
  <c r="A1363"/>
  <c r="B1363"/>
  <c r="G1363"/>
  <c r="A1364"/>
  <c r="B1364"/>
  <c r="G1364"/>
  <c r="A1365"/>
  <c r="B1365"/>
  <c r="G1365"/>
  <c r="A1366"/>
  <c r="B1366"/>
  <c r="G1366"/>
  <c r="A1367"/>
  <c r="B1367"/>
  <c r="G1367"/>
  <c r="A1368"/>
  <c r="B1368"/>
  <c r="G1368"/>
  <c r="A1369"/>
  <c r="B1369"/>
  <c r="G1369"/>
  <c r="A1370"/>
  <c r="B1370"/>
  <c r="G1370"/>
  <c r="A1371"/>
  <c r="B1371"/>
  <c r="G1371"/>
  <c r="A1372"/>
  <c r="B1372"/>
  <c r="G1372"/>
  <c r="A1373"/>
  <c r="B1373"/>
  <c r="G1373"/>
  <c r="A1374"/>
  <c r="B1374"/>
  <c r="G1374"/>
  <c r="A1375"/>
  <c r="B1375"/>
  <c r="G1375"/>
  <c r="A1376"/>
  <c r="B1376"/>
  <c r="G1376"/>
  <c r="A1377"/>
  <c r="B1377"/>
  <c r="G1377"/>
  <c r="A1378"/>
  <c r="B1378"/>
  <c r="G1378"/>
  <c r="A1379"/>
  <c r="B1379"/>
  <c r="G1379"/>
  <c r="A1380"/>
  <c r="B1380"/>
  <c r="G1380"/>
  <c r="A1381"/>
  <c r="B1381"/>
  <c r="G1381"/>
  <c r="A1382"/>
  <c r="B1382"/>
  <c r="G1382"/>
  <c r="A1383"/>
  <c r="B1383"/>
  <c r="G1383"/>
  <c r="A1384"/>
  <c r="B1384"/>
  <c r="G1384"/>
  <c r="A1385"/>
  <c r="B1385"/>
  <c r="G1385"/>
  <c r="A1386"/>
  <c r="B1386"/>
  <c r="G1386"/>
  <c r="A1387"/>
  <c r="B1387"/>
  <c r="G1387"/>
  <c r="A1388"/>
  <c r="B1388"/>
  <c r="G1388"/>
  <c r="A1389"/>
  <c r="B1389"/>
  <c r="G1389"/>
  <c r="A1390"/>
  <c r="B1390"/>
  <c r="G1390"/>
  <c r="A1391"/>
  <c r="B1391"/>
  <c r="G1391"/>
  <c r="A1392"/>
  <c r="B1392"/>
  <c r="G1392"/>
  <c r="A1393"/>
  <c r="B1393"/>
  <c r="G1393"/>
  <c r="A1394"/>
  <c r="B1394"/>
  <c r="G1394"/>
  <c r="A1395"/>
  <c r="B1395"/>
  <c r="G1395"/>
  <c r="A1396"/>
  <c r="B1396"/>
  <c r="G1396"/>
  <c r="A1397"/>
  <c r="B1397"/>
  <c r="G1397"/>
  <c r="A1398"/>
  <c r="B1398"/>
  <c r="G1398"/>
  <c r="A1399"/>
  <c r="B1399"/>
  <c r="G1399"/>
  <c r="A1400"/>
  <c r="B1400"/>
  <c r="G1400"/>
  <c r="A1401"/>
  <c r="B1401"/>
  <c r="G1401"/>
  <c r="A1402"/>
  <c r="B1402"/>
  <c r="G1402"/>
  <c r="A1403"/>
  <c r="B1403"/>
  <c r="G1403"/>
  <c r="A1404"/>
  <c r="B1404"/>
  <c r="G1404"/>
  <c r="A1405"/>
  <c r="B1405"/>
  <c r="G1405"/>
  <c r="A1406"/>
  <c r="B1406"/>
  <c r="G1406"/>
  <c r="A1407"/>
  <c r="B1407"/>
  <c r="G1407"/>
  <c r="A1408"/>
  <c r="B1408"/>
  <c r="G1408"/>
  <c r="A1409"/>
  <c r="B1409"/>
  <c r="G1409"/>
  <c r="A1410"/>
  <c r="B1410"/>
  <c r="G1410"/>
  <c r="A1411"/>
  <c r="B1411"/>
  <c r="G1411"/>
  <c r="A1412"/>
  <c r="B1412"/>
  <c r="G1412"/>
  <c r="A1413"/>
  <c r="B1413"/>
  <c r="G1413"/>
  <c r="A1414"/>
  <c r="B1414"/>
  <c r="G1414"/>
  <c r="A1415"/>
  <c r="B1415"/>
  <c r="G1415"/>
  <c r="A1416"/>
  <c r="B1416"/>
  <c r="G1416"/>
  <c r="A1417"/>
  <c r="B1417"/>
  <c r="G1417"/>
  <c r="A1418"/>
  <c r="B1418"/>
  <c r="G1418"/>
  <c r="A1419"/>
  <c r="B1419"/>
  <c r="G1419"/>
  <c r="A1420"/>
  <c r="B1420"/>
  <c r="G1420"/>
  <c r="A1421"/>
  <c r="B1421"/>
  <c r="G1421"/>
  <c r="A1422"/>
  <c r="B1422"/>
  <c r="G1422"/>
  <c r="A1423"/>
  <c r="B1423"/>
  <c r="G1423"/>
  <c r="A1424"/>
  <c r="B1424"/>
  <c r="G1424"/>
  <c r="A1425"/>
  <c r="B1425"/>
  <c r="G1425"/>
  <c r="A1426"/>
  <c r="B1426"/>
  <c r="G1426"/>
  <c r="A1427"/>
  <c r="B1427"/>
  <c r="G1427"/>
  <c r="A1428"/>
  <c r="B1428"/>
  <c r="G1428"/>
  <c r="A1429"/>
  <c r="B1429"/>
  <c r="G1429"/>
  <c r="A1430"/>
  <c r="B1430"/>
  <c r="G1430"/>
  <c r="A1431"/>
  <c r="B1431"/>
  <c r="G1431"/>
  <c r="A1432"/>
  <c r="B1432"/>
  <c r="G1432"/>
  <c r="A1433"/>
  <c r="B1433"/>
  <c r="G1433"/>
  <c r="A1434"/>
  <c r="B1434"/>
  <c r="G1434"/>
  <c r="A1435"/>
  <c r="B1435"/>
  <c r="G1435"/>
  <c r="A1436"/>
  <c r="B1436"/>
  <c r="G1436"/>
  <c r="A1437"/>
  <c r="B1437"/>
  <c r="G1437"/>
  <c r="A1438"/>
  <c r="B1438"/>
  <c r="G1438"/>
  <c r="A1439"/>
  <c r="B1439"/>
  <c r="G1439"/>
  <c r="A1440"/>
  <c r="B1440"/>
  <c r="G1440"/>
  <c r="A1441"/>
  <c r="B1441"/>
  <c r="G1441"/>
  <c r="A1442"/>
  <c r="B1442"/>
  <c r="G1442"/>
  <c r="A1443"/>
  <c r="B1443"/>
  <c r="G1443"/>
  <c r="A1444"/>
  <c r="B1444"/>
  <c r="G1444"/>
  <c r="A1445"/>
  <c r="B1445"/>
  <c r="G1445"/>
  <c r="A1446"/>
  <c r="B1446"/>
  <c r="G1446"/>
  <c r="A1447"/>
  <c r="B1447"/>
  <c r="G1447"/>
  <c r="A1448"/>
  <c r="B1448"/>
  <c r="G1448"/>
  <c r="A1449"/>
  <c r="B1449"/>
  <c r="G1449"/>
  <c r="A1450"/>
  <c r="B1450"/>
  <c r="G1450"/>
  <c r="A1451"/>
  <c r="B1451"/>
  <c r="G1451"/>
  <c r="A1452"/>
  <c r="B1452"/>
  <c r="G1452"/>
  <c r="A1453"/>
  <c r="B1453"/>
  <c r="G1453"/>
  <c r="A1454"/>
  <c r="B1454"/>
  <c r="G1454"/>
  <c r="A1455"/>
  <c r="B1455"/>
  <c r="G1455"/>
  <c r="A1456"/>
  <c r="B1456"/>
  <c r="G1456"/>
  <c r="A1457"/>
  <c r="B1457"/>
  <c r="G1457"/>
  <c r="A1458"/>
  <c r="B1458"/>
  <c r="G1458"/>
  <c r="A1459"/>
  <c r="B1459"/>
  <c r="G1459"/>
  <c r="A1460"/>
  <c r="B1460"/>
  <c r="G1460"/>
  <c r="A1461"/>
  <c r="B1461"/>
  <c r="G1461"/>
  <c r="A1462"/>
  <c r="B1462"/>
  <c r="G1462"/>
  <c r="A1463"/>
  <c r="B1463"/>
  <c r="G1463"/>
  <c r="A1464"/>
  <c r="B1464"/>
  <c r="G1464"/>
  <c r="A1465"/>
  <c r="B1465"/>
  <c r="G1465"/>
  <c r="A1466"/>
  <c r="B1466"/>
  <c r="G1466"/>
  <c r="A1467"/>
  <c r="B1467"/>
  <c r="G1467"/>
  <c r="A1468"/>
  <c r="B1468"/>
  <c r="G1468"/>
  <c r="A1469"/>
  <c r="B1469"/>
  <c r="G1469"/>
  <c r="A1470"/>
  <c r="B1470"/>
  <c r="G1470"/>
  <c r="A1471"/>
  <c r="B1471"/>
  <c r="G1471"/>
  <c r="A1472"/>
  <c r="B1472"/>
  <c r="G1472"/>
  <c r="A1473"/>
  <c r="B1473"/>
  <c r="G1473"/>
  <c r="A1474"/>
  <c r="B1474"/>
  <c r="G1474"/>
  <c r="A1475"/>
  <c r="B1475"/>
  <c r="G1475"/>
  <c r="A1476"/>
  <c r="B1476"/>
  <c r="G1476"/>
  <c r="A1477"/>
  <c r="B1477"/>
  <c r="G1477"/>
  <c r="A1478"/>
  <c r="B1478"/>
  <c r="G1478"/>
  <c r="A1479"/>
  <c r="B1479"/>
  <c r="G1479"/>
  <c r="A1480"/>
  <c r="B1480"/>
  <c r="G1480"/>
  <c r="A1481"/>
  <c r="B1481"/>
  <c r="G1481"/>
  <c r="A1482"/>
  <c r="B1482"/>
  <c r="G1482"/>
  <c r="A1483"/>
  <c r="B1483"/>
  <c r="G1483"/>
  <c r="A1484"/>
  <c r="B1484"/>
  <c r="G1484"/>
  <c r="A1485"/>
  <c r="B1485"/>
  <c r="G1485"/>
  <c r="A1486"/>
  <c r="B1486"/>
  <c r="G1486"/>
  <c r="A1487"/>
  <c r="B1487"/>
  <c r="G1487"/>
  <c r="A1488"/>
  <c r="B1488"/>
  <c r="G1488"/>
  <c r="A1489"/>
  <c r="B1489"/>
  <c r="G1489"/>
  <c r="A1490"/>
  <c r="B1490"/>
  <c r="G1490"/>
  <c r="A1491"/>
  <c r="B1491"/>
  <c r="G1491"/>
  <c r="A1492"/>
  <c r="B1492"/>
  <c r="G1492"/>
  <c r="A1493"/>
  <c r="B1493"/>
  <c r="H1493"/>
  <c r="A1494"/>
  <c r="B1494"/>
  <c r="G1494"/>
  <c r="A1495"/>
  <c r="B1495"/>
  <c r="G1495"/>
  <c r="A1496"/>
  <c r="B1496"/>
  <c r="G1496"/>
  <c r="A1497"/>
  <c r="B1497"/>
  <c r="G1497"/>
  <c r="A1498"/>
  <c r="B1498"/>
  <c r="G1498"/>
  <c r="A1499"/>
  <c r="B1499"/>
  <c r="G1499"/>
  <c r="A1500"/>
  <c r="B1500"/>
  <c r="G1500"/>
  <c r="A1501"/>
  <c r="B1501"/>
  <c r="G1501"/>
  <c r="A1502"/>
  <c r="B1502"/>
  <c r="G1502"/>
  <c r="A1503"/>
  <c r="B1503"/>
  <c r="G1503"/>
  <c r="A1504"/>
  <c r="B1504"/>
  <c r="G1504"/>
  <c r="A1505"/>
  <c r="B1505"/>
  <c r="G1505"/>
  <c r="A1506"/>
  <c r="B1506"/>
  <c r="G1506"/>
  <c r="A1507"/>
  <c r="B1507"/>
  <c r="G1507"/>
  <c r="A1508"/>
  <c r="B1508"/>
  <c r="G1508"/>
  <c r="A1509"/>
  <c r="B1509"/>
  <c r="G1509"/>
  <c r="A1510"/>
  <c r="B1510"/>
  <c r="G1510"/>
  <c r="A1511"/>
  <c r="B1511"/>
  <c r="G1511"/>
  <c r="A1512"/>
  <c r="B1512"/>
  <c r="G1512"/>
  <c r="A1513"/>
  <c r="B1513"/>
  <c r="G1513"/>
  <c r="A1514"/>
  <c r="B1514"/>
  <c r="G1514"/>
  <c r="A1515"/>
  <c r="B1515"/>
  <c r="G1515"/>
  <c r="A1516"/>
  <c r="B1516"/>
  <c r="G1516"/>
  <c r="A1517"/>
  <c r="B1517"/>
  <c r="G1517"/>
  <c r="A1518"/>
  <c r="B1518"/>
  <c r="G1518"/>
  <c r="A1519"/>
  <c r="B1519"/>
  <c r="G1519"/>
  <c r="A1520"/>
  <c r="B1520"/>
  <c r="G1520"/>
  <c r="A1521"/>
  <c r="B1521"/>
  <c r="G1521"/>
  <c r="A1522"/>
  <c r="B1522"/>
  <c r="G1522"/>
  <c r="A1523"/>
  <c r="B1523"/>
  <c r="G1523"/>
  <c r="A1524"/>
  <c r="B1524"/>
  <c r="G1524"/>
  <c r="A1525"/>
  <c r="B1525"/>
  <c r="G1525"/>
  <c r="A1526"/>
  <c r="B1526"/>
  <c r="G1526"/>
  <c r="A1527"/>
  <c r="B1527"/>
  <c r="G1527"/>
  <c r="A1528"/>
  <c r="B1528"/>
  <c r="G1528"/>
  <c r="A1529"/>
  <c r="B1529"/>
  <c r="G1529"/>
  <c r="A1530"/>
  <c r="B1530"/>
  <c r="G1530"/>
  <c r="A1531"/>
  <c r="B1531"/>
  <c r="G1531"/>
  <c r="A1532"/>
  <c r="B1532"/>
  <c r="G1532"/>
  <c r="A1533"/>
  <c r="B1533"/>
  <c r="G1533"/>
  <c r="A1534"/>
  <c r="B1534"/>
  <c r="G1534"/>
  <c r="A1535"/>
  <c r="B1535"/>
  <c r="G1535"/>
  <c r="A1536"/>
  <c r="B1536"/>
  <c r="G1536"/>
  <c r="A1537"/>
  <c r="B1537"/>
  <c r="G1537"/>
  <c r="A1538"/>
  <c r="B1538"/>
  <c r="G1538"/>
  <c r="A1539"/>
  <c r="B1539"/>
  <c r="G1539"/>
  <c r="A1540"/>
  <c r="B1540"/>
  <c r="G1540"/>
  <c r="A1541"/>
  <c r="B1541"/>
  <c r="G1541"/>
  <c r="A1542"/>
  <c r="B1542"/>
  <c r="G1542"/>
  <c r="A1543"/>
  <c r="B1543"/>
  <c r="G1543"/>
  <c r="A1544"/>
  <c r="B1544"/>
  <c r="G1544"/>
  <c r="A1545"/>
  <c r="B1545"/>
  <c r="G1545"/>
  <c r="A1546"/>
  <c r="B1546"/>
  <c r="G1546"/>
  <c r="A1547"/>
  <c r="B1547"/>
  <c r="G1547"/>
  <c r="A1548"/>
  <c r="B1548"/>
  <c r="G1548"/>
  <c r="A1549"/>
  <c r="B1549"/>
  <c r="G1549"/>
  <c r="A1550"/>
  <c r="B1550"/>
  <c r="G1550"/>
  <c r="A1551"/>
  <c r="B1551"/>
  <c r="G1551"/>
  <c r="A1552"/>
  <c r="B1552"/>
  <c r="G1552"/>
  <c r="A1553"/>
  <c r="B1553"/>
  <c r="G1553"/>
  <c r="A1554"/>
  <c r="B1554"/>
  <c r="G1554"/>
  <c r="A1555"/>
  <c r="B1555"/>
  <c r="G1555"/>
  <c r="A1556"/>
  <c r="B1556"/>
  <c r="G1556"/>
  <c r="A1557"/>
  <c r="B1557"/>
  <c r="G1557"/>
  <c r="A1558"/>
  <c r="B1558"/>
  <c r="G1558"/>
  <c r="A1559"/>
  <c r="B1559"/>
  <c r="G1559"/>
  <c r="A1560"/>
  <c r="B1560"/>
  <c r="G1560"/>
  <c r="A1561"/>
  <c r="B1561"/>
  <c r="G1561"/>
  <c r="A1562"/>
  <c r="B1562"/>
  <c r="G1562"/>
  <c r="A1563"/>
  <c r="B1563"/>
  <c r="G1563"/>
  <c r="A1564"/>
  <c r="B1564"/>
  <c r="G1564"/>
  <c r="A1565"/>
  <c r="B1565"/>
  <c r="G1565"/>
  <c r="A1566"/>
  <c r="B1566"/>
  <c r="H1566"/>
  <c r="A1567"/>
  <c r="B1567"/>
  <c r="G1567"/>
  <c r="A1568"/>
  <c r="B1568"/>
  <c r="G1568"/>
  <c r="A1569"/>
  <c r="B1569"/>
  <c r="G1569"/>
  <c r="A1570"/>
  <c r="B1570"/>
  <c r="G1570"/>
  <c r="A1571"/>
  <c r="B1571"/>
  <c r="G1571"/>
  <c r="A1572"/>
  <c r="B1572"/>
  <c r="G1572"/>
  <c r="A1573"/>
  <c r="B1573"/>
  <c r="G1573"/>
  <c r="A1574"/>
  <c r="B1574"/>
  <c r="G1574"/>
  <c r="A1575"/>
  <c r="B1575"/>
  <c r="G1575"/>
  <c r="A1576"/>
  <c r="B1576"/>
  <c r="G1576"/>
  <c r="A1577"/>
  <c r="B1577"/>
  <c r="G1577"/>
  <c r="A1578"/>
  <c r="B1578"/>
  <c r="G1578"/>
  <c r="A1579"/>
  <c r="B1579"/>
  <c r="G1579"/>
  <c r="A1580"/>
  <c r="B1580"/>
  <c r="G1580"/>
  <c r="A1581"/>
  <c r="B1581"/>
  <c r="G1581"/>
  <c r="A1582"/>
  <c r="B1582"/>
  <c r="G1582"/>
  <c r="A1583"/>
  <c r="B1583"/>
  <c r="G1583"/>
  <c r="A1584"/>
  <c r="B1584"/>
  <c r="G1584"/>
  <c r="A1585"/>
  <c r="B1585"/>
  <c r="G1585"/>
  <c r="A1586"/>
  <c r="B1586"/>
  <c r="G1586"/>
  <c r="A1587"/>
  <c r="B1587"/>
  <c r="G1587"/>
  <c r="A1588"/>
  <c r="B1588"/>
  <c r="G1588"/>
  <c r="A1589"/>
  <c r="B1589"/>
  <c r="G1589"/>
  <c r="A1590"/>
  <c r="B1590"/>
  <c r="G1590"/>
  <c r="A1591"/>
  <c r="B1591"/>
  <c r="G1591"/>
  <c r="A1592"/>
  <c r="B1592"/>
  <c r="G1592"/>
  <c r="A1593"/>
  <c r="B1593"/>
  <c r="G1593"/>
  <c r="A1594"/>
  <c r="B1594"/>
  <c r="G1594"/>
  <c r="A1595"/>
  <c r="B1595"/>
  <c r="G1595"/>
  <c r="A1596"/>
  <c r="B1596"/>
  <c r="G1596"/>
  <c r="A1597"/>
  <c r="B1597"/>
  <c r="G1597"/>
  <c r="A1598"/>
  <c r="B1598"/>
  <c r="G1598"/>
  <c r="A1599"/>
  <c r="B1599"/>
  <c r="G1599"/>
  <c r="A1600"/>
  <c r="B1600"/>
  <c r="G1600"/>
  <c r="A1601"/>
  <c r="B1601"/>
  <c r="G1601"/>
  <c r="A1602"/>
  <c r="B1602"/>
  <c r="G1602"/>
  <c r="A1603"/>
  <c r="B1603"/>
  <c r="G1603"/>
  <c r="A1604"/>
  <c r="B1604"/>
  <c r="G1604"/>
  <c r="A1605"/>
  <c r="B1605"/>
  <c r="G1605"/>
  <c r="A1606"/>
  <c r="B1606"/>
  <c r="G1606"/>
  <c r="A1607"/>
  <c r="B1607"/>
  <c r="G1607"/>
  <c r="A1608"/>
  <c r="B1608"/>
  <c r="G1608"/>
  <c r="A1609"/>
  <c r="B1609"/>
  <c r="G1609"/>
  <c r="A1610"/>
  <c r="B1610"/>
  <c r="G1610"/>
  <c r="A1611"/>
  <c r="B1611"/>
  <c r="H1611"/>
  <c r="A1612"/>
  <c r="B1612"/>
  <c r="G1612"/>
  <c r="A1613"/>
  <c r="B1613"/>
  <c r="G1613"/>
  <c r="A1614"/>
  <c r="B1614"/>
  <c r="G1614"/>
  <c r="A1615"/>
  <c r="B1615"/>
  <c r="G1615"/>
  <c r="A1616"/>
  <c r="B1616"/>
  <c r="G1616"/>
  <c r="A1617"/>
  <c r="B1617"/>
  <c r="G1617"/>
  <c r="A1618"/>
  <c r="B1618"/>
  <c r="G1618"/>
  <c r="A1619"/>
  <c r="B1619"/>
  <c r="G1619"/>
  <c r="A1620"/>
  <c r="B1620"/>
  <c r="G1620"/>
  <c r="A1621"/>
  <c r="B1621"/>
  <c r="G1621"/>
  <c r="A1622"/>
  <c r="B1622"/>
  <c r="G1622"/>
  <c r="A1623"/>
  <c r="B1623"/>
  <c r="G1623"/>
  <c r="A1624"/>
  <c r="B1624"/>
  <c r="G1624"/>
  <c r="A1625"/>
  <c r="B1625"/>
  <c r="G1625"/>
  <c r="A1626"/>
  <c r="B1626"/>
  <c r="G1626"/>
  <c r="A1627"/>
  <c r="B1627"/>
  <c r="G1627"/>
  <c r="A1628"/>
  <c r="B1628"/>
  <c r="G1628"/>
  <c r="A1629"/>
  <c r="B1629"/>
  <c r="G1629"/>
  <c r="A1630"/>
  <c r="B1630"/>
  <c r="G1630"/>
  <c r="A1631"/>
  <c r="B1631"/>
  <c r="G1631"/>
  <c r="A1632"/>
  <c r="B1632"/>
  <c r="G1632"/>
  <c r="A1633"/>
  <c r="B1633"/>
  <c r="H1633"/>
  <c r="A1634"/>
  <c r="B1634"/>
  <c r="G1634"/>
  <c r="A1635"/>
  <c r="B1635"/>
  <c r="G1635"/>
  <c r="A1636"/>
  <c r="B1636"/>
  <c r="G1636"/>
  <c r="A1637"/>
  <c r="B1637"/>
  <c r="G1637"/>
  <c r="A1638"/>
  <c r="B1638"/>
  <c r="G1638"/>
  <c r="A1639"/>
  <c r="B1639"/>
  <c r="G1639"/>
  <c r="A1640"/>
  <c r="B1640"/>
  <c r="G1640"/>
  <c r="A1641"/>
  <c r="B1641"/>
  <c r="G1641"/>
  <c r="A1642"/>
  <c r="B1642"/>
  <c r="G1642"/>
  <c r="A1643"/>
  <c r="B1643"/>
  <c r="G1643"/>
  <c r="A1644"/>
  <c r="B1644"/>
  <c r="G1644"/>
  <c r="A1645"/>
  <c r="B1645"/>
  <c r="G1645"/>
  <c r="A1646"/>
  <c r="B1646"/>
  <c r="G1646"/>
  <c r="A1647"/>
  <c r="B1647"/>
  <c r="G1647"/>
  <c r="A1648"/>
  <c r="B1648"/>
  <c r="G1648"/>
  <c r="A1649"/>
  <c r="B1649"/>
  <c r="G1649"/>
  <c r="A1650"/>
  <c r="B1650"/>
  <c r="G1650"/>
  <c r="A1651"/>
  <c r="B1651"/>
  <c r="G1651"/>
  <c r="A1652"/>
  <c r="B1652"/>
  <c r="G1652"/>
  <c r="A1653"/>
  <c r="B1653"/>
  <c r="G1653"/>
  <c r="A1654"/>
  <c r="B1654"/>
  <c r="G1654"/>
  <c r="A1655"/>
  <c r="B1655"/>
  <c r="G1655"/>
  <c r="A1656"/>
  <c r="B1656"/>
  <c r="G1656"/>
  <c r="A1657"/>
  <c r="B1657"/>
  <c r="G1657"/>
  <c r="A1658"/>
  <c r="B1658"/>
  <c r="G1658"/>
  <c r="A1659"/>
  <c r="B1659"/>
  <c r="G1659"/>
  <c r="A1660"/>
  <c r="B1660"/>
  <c r="G1660"/>
  <c r="A1661"/>
  <c r="B1661"/>
  <c r="G1661"/>
  <c r="A1662"/>
  <c r="B1662"/>
  <c r="G1662"/>
  <c r="A1663"/>
  <c r="B1663"/>
  <c r="G1663"/>
  <c r="A1664"/>
  <c r="B1664"/>
  <c r="G1664"/>
  <c r="A1665"/>
  <c r="B1665"/>
  <c r="G1665"/>
  <c r="A1666"/>
  <c r="B1666"/>
  <c r="G1666"/>
  <c r="A1667"/>
  <c r="B1667"/>
  <c r="G1667"/>
  <c r="A1668"/>
  <c r="B1668"/>
  <c r="G1668"/>
  <c r="A1669"/>
  <c r="B1669"/>
  <c r="G1669"/>
  <c r="A1670"/>
  <c r="B1670"/>
  <c r="G1670"/>
  <c r="A1671"/>
  <c r="B1671"/>
  <c r="G1671"/>
  <c r="A1672"/>
  <c r="B1672"/>
  <c r="G1672"/>
  <c r="A1673"/>
  <c r="B1673"/>
  <c r="G1673"/>
  <c r="A1674"/>
  <c r="B1674"/>
  <c r="G1674"/>
  <c r="A1675"/>
  <c r="B1675"/>
  <c r="G1675"/>
  <c r="A1676"/>
  <c r="B1676"/>
  <c r="G1676"/>
  <c r="A1677"/>
  <c r="B1677"/>
  <c r="G1677"/>
  <c r="A1678"/>
  <c r="B1678"/>
  <c r="G1678"/>
  <c r="A1679"/>
  <c r="B1679"/>
  <c r="G1679"/>
  <c r="A1680"/>
  <c r="B1680"/>
  <c r="G1680"/>
  <c r="A1681"/>
  <c r="B1681"/>
  <c r="G1681"/>
  <c r="A1682"/>
  <c r="B1682"/>
  <c r="G1682"/>
  <c r="A1683"/>
  <c r="B1683"/>
  <c r="G1683"/>
  <c r="A1684"/>
  <c r="B1684"/>
  <c r="G1684"/>
  <c r="A1685"/>
  <c r="B1685"/>
  <c r="G1685"/>
  <c r="A1686"/>
  <c r="B1686"/>
  <c r="G1686"/>
  <c r="A1687"/>
  <c r="B1687"/>
  <c r="G1687"/>
  <c r="A1688"/>
  <c r="B1688"/>
  <c r="G1688"/>
  <c r="A1689"/>
  <c r="B1689"/>
  <c r="G1689"/>
  <c r="A1690"/>
  <c r="B1690"/>
  <c r="G1690"/>
  <c r="A1691"/>
  <c r="B1691"/>
  <c r="G1691"/>
  <c r="A1692"/>
  <c r="B1692"/>
  <c r="G1692"/>
  <c r="A1693"/>
  <c r="B1693"/>
  <c r="G1693"/>
  <c r="A1694"/>
  <c r="B1694"/>
  <c r="G1694"/>
  <c r="A1695"/>
  <c r="B1695"/>
  <c r="G1695"/>
  <c r="A1696"/>
  <c r="B1696"/>
  <c r="G1696"/>
  <c r="A1697"/>
  <c r="B1697"/>
  <c r="G1697"/>
  <c r="A1698"/>
  <c r="B1698"/>
  <c r="G1698"/>
  <c r="A1699"/>
  <c r="B1699"/>
  <c r="G1699"/>
  <c r="A1700"/>
  <c r="B1700"/>
  <c r="G1700"/>
  <c r="A1701"/>
  <c r="B1701"/>
  <c r="G1701"/>
  <c r="A1702"/>
  <c r="B1702"/>
  <c r="G1702"/>
  <c r="A1703"/>
  <c r="B1703"/>
  <c r="G1703"/>
  <c r="A1704"/>
  <c r="B1704"/>
  <c r="G1704"/>
  <c r="A1705"/>
  <c r="B1705"/>
  <c r="G1705"/>
  <c r="A1706"/>
  <c r="B1706"/>
  <c r="G1706"/>
  <c r="A1707"/>
  <c r="B1707"/>
  <c r="G1707"/>
  <c r="A1708"/>
  <c r="B1708"/>
  <c r="G1708"/>
  <c r="A1709"/>
  <c r="B1709"/>
  <c r="G1709"/>
  <c r="A1710"/>
  <c r="B1710"/>
  <c r="G1710"/>
  <c r="A1711"/>
  <c r="B1711"/>
  <c r="G1711"/>
  <c r="A1712"/>
  <c r="B1712"/>
  <c r="G1712"/>
  <c r="A1713"/>
  <c r="B1713"/>
  <c r="G1713"/>
  <c r="A1714"/>
  <c r="B1714"/>
  <c r="G1714"/>
  <c r="A1715"/>
  <c r="B1715"/>
  <c r="G1715"/>
  <c r="A1716"/>
  <c r="B1716"/>
  <c r="G1716"/>
  <c r="A1717"/>
  <c r="B1717"/>
  <c r="G1717"/>
  <c r="A1718"/>
  <c r="B1718"/>
  <c r="G1718"/>
  <c r="A1719"/>
  <c r="B1719"/>
  <c r="G1719"/>
  <c r="A1720"/>
  <c r="B1720"/>
  <c r="G1720"/>
  <c r="A1721"/>
  <c r="B1721"/>
  <c r="G1721"/>
  <c r="A1722"/>
  <c r="B1722"/>
  <c r="G1722"/>
  <c r="A1723"/>
  <c r="B1723"/>
  <c r="G1723"/>
  <c r="A1724"/>
  <c r="B1724"/>
  <c r="G1724"/>
  <c r="A1725"/>
  <c r="B1725"/>
  <c r="G1725"/>
  <c r="A1726"/>
  <c r="B1726"/>
  <c r="G1726"/>
  <c r="A1727"/>
  <c r="B1727"/>
  <c r="G1727"/>
  <c r="A1728"/>
  <c r="B1728"/>
  <c r="G1728"/>
  <c r="A1729"/>
  <c r="B1729"/>
  <c r="G1729"/>
  <c r="A1730"/>
  <c r="B1730"/>
  <c r="G1730"/>
  <c r="A1731"/>
  <c r="B1731"/>
  <c r="G1731"/>
  <c r="A1732"/>
  <c r="B1732"/>
  <c r="G1732"/>
  <c r="A1733"/>
  <c r="B1733"/>
  <c r="G1733"/>
  <c r="A1734"/>
  <c r="B1734"/>
  <c r="G1734"/>
  <c r="A1735"/>
  <c r="B1735"/>
  <c r="G1735"/>
  <c r="A1736"/>
  <c r="B1736"/>
  <c r="G1736"/>
  <c r="A1737"/>
  <c r="B1737"/>
  <c r="G1737"/>
  <c r="A1738"/>
  <c r="B1738"/>
  <c r="G1738"/>
  <c r="A1739"/>
  <c r="B1739"/>
  <c r="G1739"/>
  <c r="A1740"/>
  <c r="B1740"/>
  <c r="G1740"/>
  <c r="A1741"/>
  <c r="B1741"/>
  <c r="G1741"/>
  <c r="A1742"/>
  <c r="B1742"/>
  <c r="G1742"/>
  <c r="A1743"/>
  <c r="B1743"/>
  <c r="G1743"/>
  <c r="A1744"/>
  <c r="B1744"/>
  <c r="G1744"/>
  <c r="A1745"/>
  <c r="B1745"/>
  <c r="G1745"/>
  <c r="A1746"/>
  <c r="B1746"/>
  <c r="G1746"/>
  <c r="A1747"/>
  <c r="B1747"/>
  <c r="G1747"/>
  <c r="A1748"/>
  <c r="B1748"/>
  <c r="G1748"/>
  <c r="A1749"/>
  <c r="B1749"/>
  <c r="G1749"/>
  <c r="A1750"/>
  <c r="B1750"/>
  <c r="G1750"/>
  <c r="A1751"/>
  <c r="B1751"/>
  <c r="G1751"/>
  <c r="A1752"/>
  <c r="B1752"/>
  <c r="G1752"/>
  <c r="A1753"/>
  <c r="B1753"/>
  <c r="G1753"/>
  <c r="A1754"/>
  <c r="B1754"/>
  <c r="G1754"/>
  <c r="A1755"/>
  <c r="B1755"/>
  <c r="G1755"/>
  <c r="A1756"/>
  <c r="B1756"/>
  <c r="G1756"/>
  <c r="A1757"/>
  <c r="B1757"/>
  <c r="G1757"/>
  <c r="A1758"/>
  <c r="B1758"/>
  <c r="G1758"/>
  <c r="A1759"/>
  <c r="B1759"/>
  <c r="G1759"/>
  <c r="A1760"/>
  <c r="B1760"/>
  <c r="G1760"/>
  <c r="A1761"/>
  <c r="B1761"/>
  <c r="G1761"/>
  <c r="A1762"/>
  <c r="B1762"/>
  <c r="G1762"/>
  <c r="A1763"/>
  <c r="B1763"/>
  <c r="G1763"/>
  <c r="A1764"/>
  <c r="B1764"/>
  <c r="G1764"/>
  <c r="A1765"/>
  <c r="B1765"/>
  <c r="G1765"/>
  <c r="A1766"/>
  <c r="B1766"/>
  <c r="G1766"/>
  <c r="A1767"/>
  <c r="B1767"/>
  <c r="G1767"/>
  <c r="A1768"/>
  <c r="B1768"/>
  <c r="G1768"/>
  <c r="A1769"/>
  <c r="B1769"/>
  <c r="G1769"/>
  <c r="A1770"/>
  <c r="B1770"/>
  <c r="G1770"/>
  <c r="A1771"/>
  <c r="B1771"/>
  <c r="G1771"/>
  <c r="A1772"/>
  <c r="B1772"/>
  <c r="G1772"/>
  <c r="A1773"/>
  <c r="B1773"/>
  <c r="G1773"/>
  <c r="A1774"/>
  <c r="B1774"/>
  <c r="G1774"/>
  <c r="A1775"/>
  <c r="B1775"/>
  <c r="G1775"/>
  <c r="A1776"/>
  <c r="B1776"/>
  <c r="G1776"/>
  <c r="A1777"/>
  <c r="B1777"/>
  <c r="G1777"/>
  <c r="A1778"/>
  <c r="B1778"/>
  <c r="G1778"/>
  <c r="A1779"/>
  <c r="B1779"/>
  <c r="G1779"/>
  <c r="A1780"/>
  <c r="B1780"/>
  <c r="G1780"/>
  <c r="A1781"/>
  <c r="B1781"/>
  <c r="G1781"/>
  <c r="A1782"/>
  <c r="B1782"/>
  <c r="G1782"/>
  <c r="A1783"/>
  <c r="B1783"/>
  <c r="G1783"/>
  <c r="A1784"/>
  <c r="B1784"/>
  <c r="G1784"/>
  <c r="A1785"/>
  <c r="B1785"/>
  <c r="G1785"/>
  <c r="A1786"/>
  <c r="B1786"/>
  <c r="G1786"/>
  <c r="A1787"/>
  <c r="B1787"/>
  <c r="G1787"/>
  <c r="A1788"/>
  <c r="B1788"/>
  <c r="G1788"/>
  <c r="A1789"/>
  <c r="B1789"/>
  <c r="G1789"/>
  <c r="A1790"/>
  <c r="B1790"/>
  <c r="G1790"/>
  <c r="A1791"/>
  <c r="B1791"/>
  <c r="G1791"/>
  <c r="A1792"/>
  <c r="B1792"/>
  <c r="G1792"/>
  <c r="A1793"/>
  <c r="B1793"/>
  <c r="G1793"/>
  <c r="A1794"/>
  <c r="B1794"/>
  <c r="G1794"/>
  <c r="A1795"/>
  <c r="B1795"/>
  <c r="G1795"/>
  <c r="A1796"/>
  <c r="B1796"/>
  <c r="H1796"/>
  <c r="A1797"/>
  <c r="B1797"/>
  <c r="H1797"/>
  <c r="A1798"/>
  <c r="B1798"/>
  <c r="G1798"/>
  <c r="A1799"/>
  <c r="B1799"/>
  <c r="G1799"/>
  <c r="A1800"/>
  <c r="B1800"/>
  <c r="G1800"/>
  <c r="A1801"/>
  <c r="B1801"/>
  <c r="G1801"/>
  <c r="A1802"/>
  <c r="B1802"/>
  <c r="G1802"/>
  <c r="A1803"/>
  <c r="B1803"/>
  <c r="G1803"/>
  <c r="A1804"/>
  <c r="B1804"/>
  <c r="G1804"/>
  <c r="A1805"/>
  <c r="B1805"/>
  <c r="G1805"/>
  <c r="A1806"/>
  <c r="B1806"/>
  <c r="G1806"/>
  <c r="A1807"/>
  <c r="B1807"/>
  <c r="G1807"/>
  <c r="A1808"/>
  <c r="B1808"/>
  <c r="G1808"/>
  <c r="A1809"/>
  <c r="B1809"/>
  <c r="G1809"/>
  <c r="A1810"/>
  <c r="B1810"/>
  <c r="G1810"/>
  <c r="A1811"/>
  <c r="B1811"/>
  <c r="G1811"/>
  <c r="A1812"/>
  <c r="B1812"/>
  <c r="G1812"/>
  <c r="A1813"/>
  <c r="B1813"/>
  <c r="G1813"/>
  <c r="A1814"/>
  <c r="B1814"/>
  <c r="G1814"/>
  <c r="A1815"/>
  <c r="B1815"/>
  <c r="G1815"/>
  <c r="A1816"/>
  <c r="B1816"/>
  <c r="G1816"/>
  <c r="A1817"/>
  <c r="B1817"/>
  <c r="G1817"/>
  <c r="A1818"/>
  <c r="B1818"/>
  <c r="H1818"/>
  <c r="A1819"/>
  <c r="B1819"/>
  <c r="G1819"/>
  <c r="A1820"/>
  <c r="B1820"/>
  <c r="G1820"/>
  <c r="A1821"/>
  <c r="B1821"/>
  <c r="G1821"/>
  <c r="A1822"/>
  <c r="B1822"/>
  <c r="G1822"/>
  <c r="A1823"/>
  <c r="B1823"/>
  <c r="G1823"/>
  <c r="A1824"/>
  <c r="B1824"/>
  <c r="G1824"/>
  <c r="A1825"/>
  <c r="B1825"/>
  <c r="G1825"/>
  <c r="A1826"/>
  <c r="B1826"/>
  <c r="G1826"/>
  <c r="A1827"/>
  <c r="B1827"/>
  <c r="G1827"/>
  <c r="A1828"/>
  <c r="B1828"/>
  <c r="G1828"/>
  <c r="A1829"/>
  <c r="B1829"/>
  <c r="G1829"/>
  <c r="A1830"/>
  <c r="B1830"/>
  <c r="G1830"/>
  <c r="A1831"/>
  <c r="B1831"/>
  <c r="G1831"/>
  <c r="A1832"/>
  <c r="B1832"/>
  <c r="G1832"/>
  <c r="A1833"/>
  <c r="B1833"/>
  <c r="G1833"/>
  <c r="A1834"/>
  <c r="B1834"/>
  <c r="G1834"/>
  <c r="A1835"/>
  <c r="B1835"/>
  <c r="G1835"/>
  <c r="A1836"/>
  <c r="B1836"/>
  <c r="G1836"/>
  <c r="A1837"/>
  <c r="B1837"/>
  <c r="G1837"/>
  <c r="A1838"/>
  <c r="B1838"/>
  <c r="G1838"/>
  <c r="A1839"/>
  <c r="B1839"/>
  <c r="G1839"/>
  <c r="A1840"/>
  <c r="B1840"/>
  <c r="G1840"/>
  <c r="A1841"/>
  <c r="B1841"/>
  <c r="G1841"/>
  <c r="A1842"/>
  <c r="B1842"/>
  <c r="G1842"/>
  <c r="A1843"/>
  <c r="B1843"/>
  <c r="G1843"/>
  <c r="A1844"/>
  <c r="B1844"/>
  <c r="G1844"/>
  <c r="A1845"/>
  <c r="B1845"/>
  <c r="G1845"/>
  <c r="A1846"/>
  <c r="B1846"/>
  <c r="G1846"/>
  <c r="A1847"/>
  <c r="B1847"/>
  <c r="G1847"/>
  <c r="A1848"/>
  <c r="B1848"/>
  <c r="G1848"/>
  <c r="A1849"/>
  <c r="B1849"/>
  <c r="G1849"/>
  <c r="A1850"/>
  <c r="B1850"/>
  <c r="G1850"/>
  <c r="A1851"/>
  <c r="B1851"/>
  <c r="G1851"/>
  <c r="A1852"/>
  <c r="B1852"/>
  <c r="G1852"/>
  <c r="A1853"/>
  <c r="B1853"/>
  <c r="G1853"/>
  <c r="A1854"/>
  <c r="B1854"/>
  <c r="G1854"/>
  <c r="A1855"/>
  <c r="B1855"/>
  <c r="G1855"/>
  <c r="A1856"/>
  <c r="B1856"/>
  <c r="G1856"/>
  <c r="A1857"/>
  <c r="B1857"/>
  <c r="G1857"/>
  <c r="A1858"/>
  <c r="B1858"/>
  <c r="G1858"/>
  <c r="A1859"/>
  <c r="B1859"/>
  <c r="G1859"/>
  <c r="A1860"/>
  <c r="B1860"/>
  <c r="G1860"/>
  <c r="A1861"/>
  <c r="B1861"/>
  <c r="G1861"/>
  <c r="A1862"/>
  <c r="B1862"/>
  <c r="G1862"/>
  <c r="A1863"/>
  <c r="B1863"/>
  <c r="G1863"/>
  <c r="A1864"/>
  <c r="B1864"/>
  <c r="G1864"/>
  <c r="A1865"/>
  <c r="B1865"/>
  <c r="G1865"/>
  <c r="A1866"/>
  <c r="B1866"/>
  <c r="G1866"/>
  <c r="A1867"/>
  <c r="B1867"/>
  <c r="G1867"/>
  <c r="A1868"/>
  <c r="B1868"/>
  <c r="G1868"/>
  <c r="A1869"/>
  <c r="B1869"/>
  <c r="G1869"/>
  <c r="A1870"/>
  <c r="B1870"/>
  <c r="G1870"/>
  <c r="A1871"/>
  <c r="B1871"/>
  <c r="G1871"/>
  <c r="A1872"/>
  <c r="B1872"/>
  <c r="G1872"/>
  <c r="A1873"/>
  <c r="B1873"/>
  <c r="G1873"/>
  <c r="A1874"/>
  <c r="B1874"/>
  <c r="G1874"/>
  <c r="A1875"/>
  <c r="B1875"/>
  <c r="G1875"/>
  <c r="A1876"/>
  <c r="B1876"/>
  <c r="G1876"/>
  <c r="A1877"/>
  <c r="B1877"/>
  <c r="G1877"/>
  <c r="A1878"/>
  <c r="B1878"/>
  <c r="G1878"/>
  <c r="A1879"/>
  <c r="B1879"/>
  <c r="G1879"/>
  <c r="A1880"/>
  <c r="B1880"/>
  <c r="G1880"/>
  <c r="A1881"/>
  <c r="B1881"/>
  <c r="G1881"/>
  <c r="A1882"/>
  <c r="B1882"/>
  <c r="G1882"/>
  <c r="A1883"/>
  <c r="B1883"/>
  <c r="G1883"/>
  <c r="A1884"/>
  <c r="B1884"/>
  <c r="G1884"/>
  <c r="A1885"/>
  <c r="B1885"/>
  <c r="G1885"/>
  <c r="A1886"/>
  <c r="B1886"/>
  <c r="G1886"/>
  <c r="A1887"/>
  <c r="B1887"/>
  <c r="G1887"/>
  <c r="A1888"/>
  <c r="B1888"/>
  <c r="G1888"/>
  <c r="A1889"/>
  <c r="B1889"/>
  <c r="G1889"/>
  <c r="A1890"/>
  <c r="B1890"/>
  <c r="G1890"/>
  <c r="A1891"/>
  <c r="B1891"/>
  <c r="G1891"/>
  <c r="A1892"/>
  <c r="B1892"/>
  <c r="G1892"/>
  <c r="A1893"/>
  <c r="B1893"/>
  <c r="G1893"/>
  <c r="A1894"/>
  <c r="B1894"/>
  <c r="G1894"/>
  <c r="A1895"/>
  <c r="B1895"/>
  <c r="G1895"/>
  <c r="A1896"/>
  <c r="B1896"/>
  <c r="G1896"/>
  <c r="A1897"/>
  <c r="B1897"/>
  <c r="G1897"/>
  <c r="A1898"/>
  <c r="B1898"/>
  <c r="G1898"/>
  <c r="A1899"/>
  <c r="B1899"/>
  <c r="G1899"/>
  <c r="A1900"/>
  <c r="B1900"/>
  <c r="G1900"/>
  <c r="A1901"/>
  <c r="B1901"/>
  <c r="G1901"/>
  <c r="A1902"/>
  <c r="B1902"/>
  <c r="G1902"/>
  <c r="A1903"/>
  <c r="B1903"/>
  <c r="G1903"/>
  <c r="A1904"/>
  <c r="B1904"/>
  <c r="G1904"/>
  <c r="A1905"/>
  <c r="B1905"/>
  <c r="G1905"/>
  <c r="A1906"/>
  <c r="B1906"/>
  <c r="G1906"/>
  <c r="A1907"/>
  <c r="B1907"/>
  <c r="G1907"/>
  <c r="A1908"/>
  <c r="B1908"/>
  <c r="G1908"/>
  <c r="A1909"/>
  <c r="B1909"/>
  <c r="G1909"/>
  <c r="A1910"/>
  <c r="B1910"/>
  <c r="G1910"/>
  <c r="A1911"/>
  <c r="B1911"/>
  <c r="G1911"/>
  <c r="A1912"/>
  <c r="B1912"/>
  <c r="G1912"/>
  <c r="A1913"/>
  <c r="B1913"/>
  <c r="G1913"/>
  <c r="A1914"/>
  <c r="B1914"/>
  <c r="G1914"/>
  <c r="A1915"/>
  <c r="B1915"/>
  <c r="G1915"/>
  <c r="A1916"/>
  <c r="B1916"/>
  <c r="G1916"/>
  <c r="A1917"/>
  <c r="B1917"/>
  <c r="G1917"/>
  <c r="A1918"/>
  <c r="B1918"/>
  <c r="G1918"/>
  <c r="A1919"/>
  <c r="B1919"/>
  <c r="G1919"/>
  <c r="A1920"/>
  <c r="B1920"/>
  <c r="G1920"/>
  <c r="A1921"/>
  <c r="B1921"/>
  <c r="G1921"/>
  <c r="A1922"/>
  <c r="B1922"/>
  <c r="G1922"/>
  <c r="A1923"/>
  <c r="B1923"/>
  <c r="G1923"/>
  <c r="A1924"/>
  <c r="B1924"/>
  <c r="G1924"/>
  <c r="A1925"/>
  <c r="B1925"/>
  <c r="G1925"/>
  <c r="A1926"/>
  <c r="B1926"/>
  <c r="G1926"/>
  <c r="A1927"/>
  <c r="B1927"/>
  <c r="G1927"/>
  <c r="A1928"/>
  <c r="B1928"/>
  <c r="G1928"/>
  <c r="A1929"/>
  <c r="B1929"/>
  <c r="G1929"/>
  <c r="A1930"/>
  <c r="B1930"/>
  <c r="G1930"/>
  <c r="A1931"/>
  <c r="B1931"/>
  <c r="G1931"/>
  <c r="A1932"/>
  <c r="B1932"/>
  <c r="G1932"/>
  <c r="A1933"/>
  <c r="B1933"/>
  <c r="G1933"/>
  <c r="A1934"/>
  <c r="B1934"/>
  <c r="G1934"/>
  <c r="A1935"/>
  <c r="B1935"/>
  <c r="G1935"/>
  <c r="A1936"/>
  <c r="B1936"/>
  <c r="G1936"/>
  <c r="A1937"/>
  <c r="B1937"/>
  <c r="G1937"/>
  <c r="A1938"/>
  <c r="B1938"/>
  <c r="G1938"/>
  <c r="A1939"/>
  <c r="B1939"/>
  <c r="G1939"/>
  <c r="A1940"/>
  <c r="B1940"/>
  <c r="G1940"/>
  <c r="A1941"/>
  <c r="B1941"/>
  <c r="H1941"/>
  <c r="A1942"/>
  <c r="B1942"/>
  <c r="G1942"/>
  <c r="A1943"/>
  <c r="B1943"/>
  <c r="G1943"/>
  <c r="A1944"/>
  <c r="B1944"/>
  <c r="G1944"/>
  <c r="A1945"/>
  <c r="B1945"/>
  <c r="G1945"/>
  <c r="A1946"/>
  <c r="B1946"/>
  <c r="G1946"/>
  <c r="A1947"/>
  <c r="B1947"/>
  <c r="G1947"/>
  <c r="A1948"/>
  <c r="B1948"/>
  <c r="G1948"/>
  <c r="A1949"/>
  <c r="B1949"/>
  <c r="G1949"/>
  <c r="A1950"/>
  <c r="B1950"/>
  <c r="G1950"/>
  <c r="A1951"/>
  <c r="B1951"/>
  <c r="G1951"/>
  <c r="A1952"/>
  <c r="B1952"/>
  <c r="G1952"/>
  <c r="A1953"/>
  <c r="B1953"/>
  <c r="G1953"/>
  <c r="A1954"/>
  <c r="B1954"/>
  <c r="G1954"/>
  <c r="A1955"/>
  <c r="B1955"/>
  <c r="G1955"/>
  <c r="A1956"/>
  <c r="B1956"/>
  <c r="G1956"/>
  <c r="A1957"/>
  <c r="B1957"/>
  <c r="G1957"/>
  <c r="A1958"/>
  <c r="B1958"/>
  <c r="G1958"/>
  <c r="A1959"/>
  <c r="B1959"/>
  <c r="G1959"/>
  <c r="A1960"/>
  <c r="B1960"/>
  <c r="G1960"/>
  <c r="A1961"/>
  <c r="B1961"/>
  <c r="G1961"/>
  <c r="A1962"/>
  <c r="B1962"/>
  <c r="G1962"/>
  <c r="A1963"/>
  <c r="B1963"/>
  <c r="G1963"/>
  <c r="A1964"/>
  <c r="B1964"/>
  <c r="G1964"/>
  <c r="A1965"/>
  <c r="B1965"/>
  <c r="G1965"/>
  <c r="A1966"/>
  <c r="B1966"/>
  <c r="G1966"/>
  <c r="A1967"/>
  <c r="B1967"/>
  <c r="G1967"/>
  <c r="A1968"/>
  <c r="B1968"/>
  <c r="G1968"/>
  <c r="A1969"/>
  <c r="B1969"/>
  <c r="G1969"/>
  <c r="A1970"/>
  <c r="B1970"/>
  <c r="G1970"/>
  <c r="A1971"/>
  <c r="B1971"/>
  <c r="G1971"/>
  <c r="A1972"/>
  <c r="B1972"/>
  <c r="G1972"/>
  <c r="A1973"/>
  <c r="B1973"/>
  <c r="G1973"/>
  <c r="A1974"/>
  <c r="B1974"/>
  <c r="G1974"/>
  <c r="A1975"/>
  <c r="B1975"/>
  <c r="G1975"/>
  <c r="A1976"/>
  <c r="B1976"/>
  <c r="G1976"/>
  <c r="A1977"/>
  <c r="B1977"/>
  <c r="G1977"/>
  <c r="A1978"/>
  <c r="B1978"/>
  <c r="G1978"/>
  <c r="A1979"/>
  <c r="B1979"/>
  <c r="G1979"/>
  <c r="A1980"/>
  <c r="B1980"/>
  <c r="G1980"/>
  <c r="A1981"/>
  <c r="B1981"/>
  <c r="G1981"/>
  <c r="A1982"/>
  <c r="B1982"/>
  <c r="G1982"/>
  <c r="A1983"/>
  <c r="B1983"/>
  <c r="G1983"/>
  <c r="A1984"/>
  <c r="B1984"/>
  <c r="G1984"/>
  <c r="A1985"/>
  <c r="B1985"/>
  <c r="G1985"/>
  <c r="A1986"/>
  <c r="B1986"/>
  <c r="G1986"/>
  <c r="A1987"/>
  <c r="B1987"/>
  <c r="G1987"/>
  <c r="A1988"/>
  <c r="B1988"/>
  <c r="G1988"/>
  <c r="A1989"/>
  <c r="B1989"/>
  <c r="G1989"/>
  <c r="A1990"/>
  <c r="B1990"/>
  <c r="G1990"/>
  <c r="A1991"/>
  <c r="B1991"/>
  <c r="G1991"/>
  <c r="A1992"/>
  <c r="B1992"/>
  <c r="G1992"/>
  <c r="A1993"/>
  <c r="B1993"/>
  <c r="G1993"/>
  <c r="A1994"/>
  <c r="B1994"/>
  <c r="G1994"/>
  <c r="A1995"/>
  <c r="B1995"/>
  <c r="G1995"/>
  <c r="A1996"/>
  <c r="B1996"/>
  <c r="G1996"/>
  <c r="A1997"/>
  <c r="B1997"/>
  <c r="G1997"/>
  <c r="A1998"/>
  <c r="B1998"/>
  <c r="G1998"/>
  <c r="A1999"/>
  <c r="B1999"/>
  <c r="G1999"/>
  <c r="A2000"/>
  <c r="B2000"/>
  <c r="G2000"/>
  <c r="A2001"/>
  <c r="B2001"/>
  <c r="G2001"/>
  <c r="A2002"/>
  <c r="B2002"/>
  <c r="G2002"/>
  <c r="A2003"/>
  <c r="B2003"/>
  <c r="G2003"/>
  <c r="A2004"/>
  <c r="B2004"/>
  <c r="G2004"/>
  <c r="A2005"/>
  <c r="B2005"/>
  <c r="G2005"/>
  <c r="A2006"/>
  <c r="B2006"/>
  <c r="G2006"/>
  <c r="A2007"/>
  <c r="B2007"/>
  <c r="G2007"/>
  <c r="A2008"/>
  <c r="B2008"/>
  <c r="G2008"/>
  <c r="A2009"/>
  <c r="B2009"/>
  <c r="G2009"/>
  <c r="A2010"/>
  <c r="B2010"/>
  <c r="G2010"/>
  <c r="A2011"/>
  <c r="B2011"/>
  <c r="G2011"/>
  <c r="A2012"/>
  <c r="B2012"/>
  <c r="G2012"/>
  <c r="A2013"/>
  <c r="B2013"/>
  <c r="G2013"/>
  <c r="A2014"/>
  <c r="B2014"/>
  <c r="G2014"/>
  <c r="A2015"/>
  <c r="B2015"/>
  <c r="G2015"/>
  <c r="A2016"/>
  <c r="B2016"/>
  <c r="G2016"/>
  <c r="A2017"/>
  <c r="B2017"/>
  <c r="G2017"/>
  <c r="A2018"/>
  <c r="B2018"/>
  <c r="G2018"/>
  <c r="A2019"/>
  <c r="B2019"/>
  <c r="G2019"/>
  <c r="A2020"/>
  <c r="B2020"/>
  <c r="G2020"/>
  <c r="A2021"/>
  <c r="B2021"/>
  <c r="H2021"/>
  <c r="A2022"/>
  <c r="B2022"/>
  <c r="G2022"/>
  <c r="A2023"/>
  <c r="B2023"/>
  <c r="G2023"/>
  <c r="A2024"/>
  <c r="B2024"/>
  <c r="G2024"/>
  <c r="A2025"/>
  <c r="B2025"/>
  <c r="G2025"/>
  <c r="A2026"/>
  <c r="B2026"/>
  <c r="G2026"/>
  <c r="A2027"/>
  <c r="B2027"/>
  <c r="G2027"/>
  <c r="A2028"/>
  <c r="B2028"/>
  <c r="G2028"/>
  <c r="A2029"/>
  <c r="B2029"/>
  <c r="G2029"/>
  <c r="A2030"/>
  <c r="B2030"/>
  <c r="G2030"/>
  <c r="A2031"/>
  <c r="B2031"/>
  <c r="G2031"/>
  <c r="A2032"/>
  <c r="B2032"/>
  <c r="G2032"/>
  <c r="A2033"/>
  <c r="B2033"/>
  <c r="G2033"/>
  <c r="A2034"/>
  <c r="B2034"/>
  <c r="G2034"/>
  <c r="A2035"/>
  <c r="B2035"/>
  <c r="G2035"/>
  <c r="A2036"/>
  <c r="B2036"/>
  <c r="G2036"/>
  <c r="A2037"/>
  <c r="B2037"/>
  <c r="G2037"/>
  <c r="A2038"/>
  <c r="B2038"/>
  <c r="G2038"/>
  <c r="A2039"/>
  <c r="B2039"/>
  <c r="G2039"/>
  <c r="A2040"/>
  <c r="B2040"/>
  <c r="G2040"/>
  <c r="A2041"/>
  <c r="B2041"/>
  <c r="G2041"/>
  <c r="A2042"/>
  <c r="B2042"/>
  <c r="G2042"/>
  <c r="A2043"/>
  <c r="B2043"/>
  <c r="G2043"/>
  <c r="A2044"/>
  <c r="B2044"/>
  <c r="G2044"/>
  <c r="A2045"/>
  <c r="B2045"/>
  <c r="G2045"/>
  <c r="A2046"/>
  <c r="B2046"/>
  <c r="G2046"/>
  <c r="A2047"/>
  <c r="B2047"/>
  <c r="G2047"/>
  <c r="A2048"/>
  <c r="B2048"/>
  <c r="G2048"/>
  <c r="A2049"/>
  <c r="B2049"/>
  <c r="G2049"/>
  <c r="A2050"/>
  <c r="B2050"/>
  <c r="G2050"/>
  <c r="A2051"/>
  <c r="B2051"/>
  <c r="G2051"/>
  <c r="A2052"/>
  <c r="B2052"/>
  <c r="G2052"/>
  <c r="A2053"/>
  <c r="B2053"/>
  <c r="G2053"/>
  <c r="A2054"/>
  <c r="B2054"/>
  <c r="G2054"/>
  <c r="A2055"/>
  <c r="B2055"/>
  <c r="G2055"/>
  <c r="A2056"/>
  <c r="B2056"/>
  <c r="G2056"/>
  <c r="A2057"/>
  <c r="B2057"/>
  <c r="G2057"/>
  <c r="A2058"/>
  <c r="B2058"/>
  <c r="G2058"/>
  <c r="A2059"/>
  <c r="B2059"/>
  <c r="G2059"/>
  <c r="A2060"/>
  <c r="B2060"/>
  <c r="G2060"/>
  <c r="A2061"/>
  <c r="B2061"/>
  <c r="G2061"/>
  <c r="A2062"/>
  <c r="B2062"/>
  <c r="G2062"/>
  <c r="A2063"/>
  <c r="B2063"/>
  <c r="G2063"/>
  <c r="A2064"/>
  <c r="B2064"/>
  <c r="G2064"/>
  <c r="A2065"/>
  <c r="B2065"/>
  <c r="G2065"/>
  <c r="A2066"/>
  <c r="B2066"/>
  <c r="G2066"/>
  <c r="A2067"/>
  <c r="B2067"/>
  <c r="G2067"/>
  <c r="A2068"/>
  <c r="B2068"/>
  <c r="G2068"/>
  <c r="A2069"/>
  <c r="B2069"/>
  <c r="G2069"/>
  <c r="A2070"/>
  <c r="B2070"/>
  <c r="G2070"/>
  <c r="A2071"/>
  <c r="B2071"/>
  <c r="G2071"/>
  <c r="A2072"/>
  <c r="B2072"/>
  <c r="G2072"/>
  <c r="A2073"/>
  <c r="B2073"/>
  <c r="G2073"/>
  <c r="A2074"/>
  <c r="B2074"/>
  <c r="G2074"/>
  <c r="A2075"/>
  <c r="B2075"/>
  <c r="G2075"/>
  <c r="A2076"/>
  <c r="B2076"/>
  <c r="G2076"/>
  <c r="A2077"/>
  <c r="B2077"/>
  <c r="G2077"/>
  <c r="A2078"/>
  <c r="B2078"/>
  <c r="G2078"/>
  <c r="A2079"/>
  <c r="B2079"/>
  <c r="G2079"/>
  <c r="A2080"/>
  <c r="B2080"/>
  <c r="G2080"/>
  <c r="A2081"/>
  <c r="B2081"/>
  <c r="G2081"/>
  <c r="A2082"/>
  <c r="B2082"/>
  <c r="G2082"/>
  <c r="A2083"/>
  <c r="B2083"/>
  <c r="G2083"/>
  <c r="A2084"/>
  <c r="B2084"/>
  <c r="G2084"/>
  <c r="A2085"/>
  <c r="B2085"/>
  <c r="G2085"/>
  <c r="A2086"/>
  <c r="B2086"/>
  <c r="G2086"/>
  <c r="A2087"/>
  <c r="B2087"/>
  <c r="G2087"/>
  <c r="A2088"/>
  <c r="B2088"/>
  <c r="G2088"/>
  <c r="A2089"/>
  <c r="B2089"/>
  <c r="G2089"/>
  <c r="A2090"/>
  <c r="B2090"/>
  <c r="G2090"/>
  <c r="A2091"/>
  <c r="B2091"/>
  <c r="G2091"/>
  <c r="A2092"/>
  <c r="B2092"/>
  <c r="G2092"/>
  <c r="A2093"/>
  <c r="B2093"/>
  <c r="G2093"/>
  <c r="A2094"/>
  <c r="B2094"/>
  <c r="H2094"/>
  <c r="A2095"/>
  <c r="B2095"/>
  <c r="G2095"/>
  <c r="A2096"/>
  <c r="B2096"/>
  <c r="G2096"/>
  <c r="A2097"/>
  <c r="B2097"/>
  <c r="G2097"/>
  <c r="A2098"/>
  <c r="B2098"/>
  <c r="G2098"/>
  <c r="A2099"/>
  <c r="B2099"/>
  <c r="G2099"/>
  <c r="A2100"/>
  <c r="B2100"/>
  <c r="G2100"/>
  <c r="A2101"/>
  <c r="B2101"/>
  <c r="G2101"/>
  <c r="A2102"/>
  <c r="B2102"/>
  <c r="G2102"/>
  <c r="A2103"/>
  <c r="B2103"/>
  <c r="G2103"/>
  <c r="A2104"/>
  <c r="B2104"/>
  <c r="G2104"/>
  <c r="A2105"/>
  <c r="B2105"/>
  <c r="G2105"/>
  <c r="A2106"/>
  <c r="B2106"/>
  <c r="G2106"/>
  <c r="A2107"/>
  <c r="B2107"/>
  <c r="G2107"/>
  <c r="A2108"/>
  <c r="B2108"/>
  <c r="G2108"/>
  <c r="A2109"/>
  <c r="B2109"/>
  <c r="G2109"/>
  <c r="A2110"/>
  <c r="B2110"/>
  <c r="G2110"/>
  <c r="A2111"/>
  <c r="B2111"/>
  <c r="G2111"/>
  <c r="A2112"/>
  <c r="B2112"/>
  <c r="G2112"/>
  <c r="A2113"/>
  <c r="B2113"/>
  <c r="G2113"/>
  <c r="A2114"/>
  <c r="B2114"/>
  <c r="G2114"/>
  <c r="A2115"/>
  <c r="B2115"/>
  <c r="G2115"/>
  <c r="A2116"/>
  <c r="B2116"/>
  <c r="G2116"/>
  <c r="A2117"/>
  <c r="B2117"/>
  <c r="G2117"/>
  <c r="A2118"/>
  <c r="B2118"/>
  <c r="G2118"/>
  <c r="A2119"/>
  <c r="B2119"/>
  <c r="G2119"/>
  <c r="A2120"/>
  <c r="B2120"/>
  <c r="G2120"/>
  <c r="A2121"/>
  <c r="B2121"/>
  <c r="G2121"/>
  <c r="A2122"/>
  <c r="B2122"/>
  <c r="G2122"/>
  <c r="A2123"/>
  <c r="B2123"/>
  <c r="G2123"/>
  <c r="A2124"/>
  <c r="B2124"/>
  <c r="G2124"/>
  <c r="A2125"/>
  <c r="B2125"/>
  <c r="G2125"/>
  <c r="A2126"/>
  <c r="B2126"/>
  <c r="G2126"/>
  <c r="A2127"/>
  <c r="B2127"/>
  <c r="G2127"/>
  <c r="A2128"/>
  <c r="B2128"/>
  <c r="G2128"/>
  <c r="A2129"/>
  <c r="B2129"/>
  <c r="G2129"/>
  <c r="A2130"/>
  <c r="B2130"/>
  <c r="G2130"/>
  <c r="A2131"/>
  <c r="B2131"/>
  <c r="H2131"/>
  <c r="A2132"/>
  <c r="B2132"/>
  <c r="G2132"/>
  <c r="A2133"/>
  <c r="B2133"/>
  <c r="G2133"/>
  <c r="A2134"/>
  <c r="B2134"/>
  <c r="G2134"/>
  <c r="A2135"/>
  <c r="B2135"/>
  <c r="G2135"/>
  <c r="A2136"/>
  <c r="B2136"/>
  <c r="G2136"/>
  <c r="A2137"/>
  <c r="B2137"/>
  <c r="G2137"/>
  <c r="A2138"/>
  <c r="B2138"/>
  <c r="G2138"/>
  <c r="A2139"/>
  <c r="B2139"/>
  <c r="G2139"/>
  <c r="A2140"/>
  <c r="B2140"/>
  <c r="G2140"/>
  <c r="A2141"/>
  <c r="B2141"/>
  <c r="G2141"/>
  <c r="A2142"/>
  <c r="B2142"/>
  <c r="G2142"/>
  <c r="A2143"/>
  <c r="B2143"/>
  <c r="G2143"/>
  <c r="A2144"/>
  <c r="B2144"/>
  <c r="G2144"/>
  <c r="A2145"/>
  <c r="B2145"/>
  <c r="G2145"/>
  <c r="A2146"/>
  <c r="B2146"/>
  <c r="G2146"/>
  <c r="A2147"/>
  <c r="B2147"/>
  <c r="G2147"/>
  <c r="A2148"/>
  <c r="B2148"/>
  <c r="G2148"/>
  <c r="A2149"/>
  <c r="B2149"/>
  <c r="H2149"/>
  <c r="A2150"/>
  <c r="B2150"/>
  <c r="G2150"/>
  <c r="A2151"/>
  <c r="B2151"/>
  <c r="G2151"/>
  <c r="A2152"/>
  <c r="B2152"/>
  <c r="G2152"/>
  <c r="A2153"/>
  <c r="B2153"/>
  <c r="G2153"/>
  <c r="A2154"/>
  <c r="B2154"/>
  <c r="G2154"/>
  <c r="A2155"/>
  <c r="B2155"/>
  <c r="G2155"/>
  <c r="A2156"/>
  <c r="B2156"/>
  <c r="G2156"/>
  <c r="A2157"/>
  <c r="B2157"/>
  <c r="G2157"/>
  <c r="A2158"/>
  <c r="B2158"/>
  <c r="G2158"/>
  <c r="A2159"/>
  <c r="B2159"/>
  <c r="G2159"/>
  <c r="A2160"/>
  <c r="B2160"/>
  <c r="G2160"/>
  <c r="A2161"/>
  <c r="B2161"/>
  <c r="G2161"/>
  <c r="A2162"/>
  <c r="B2162"/>
  <c r="G2162"/>
  <c r="A2163"/>
  <c r="B2163"/>
  <c r="G2163"/>
  <c r="A2164"/>
  <c r="B2164"/>
  <c r="G2164"/>
  <c r="A2165"/>
  <c r="B2165"/>
  <c r="G2165"/>
  <c r="A2166"/>
  <c r="B2166"/>
  <c r="G2166"/>
  <c r="A2167"/>
  <c r="B2167"/>
  <c r="G2167"/>
  <c r="A2168"/>
  <c r="B2168"/>
  <c r="G2168"/>
  <c r="A2169"/>
  <c r="B2169"/>
  <c r="G2169"/>
  <c r="A2170"/>
  <c r="B2170"/>
  <c r="G2170"/>
  <c r="A2171"/>
  <c r="B2171"/>
  <c r="G2171"/>
  <c r="A2172"/>
  <c r="B2172"/>
  <c r="G2172"/>
  <c r="A2173"/>
  <c r="B2173"/>
  <c r="G2173"/>
  <c r="A2174"/>
  <c r="B2174"/>
  <c r="G2174"/>
  <c r="A2175"/>
  <c r="B2175"/>
  <c r="G2175"/>
  <c r="A2176"/>
  <c r="B2176"/>
  <c r="G2176"/>
  <c r="A2177"/>
  <c r="B2177"/>
  <c r="G2177"/>
  <c r="A2178"/>
  <c r="B2178"/>
  <c r="G2178"/>
  <c r="A2179"/>
  <c r="B2179"/>
  <c r="G2179"/>
  <c r="A2180"/>
  <c r="B2180"/>
  <c r="G2180"/>
  <c r="A2181"/>
  <c r="B2181"/>
  <c r="G2181"/>
  <c r="A2182"/>
  <c r="B2182"/>
  <c r="G2182"/>
  <c r="A2183"/>
  <c r="B2183"/>
  <c r="G2183"/>
  <c r="A2184"/>
  <c r="B2184"/>
  <c r="G2184"/>
  <c r="A2185"/>
  <c r="B2185"/>
  <c r="G2185"/>
  <c r="A2186"/>
  <c r="B2186"/>
  <c r="G2186"/>
  <c r="A2187"/>
  <c r="B2187"/>
  <c r="G2187"/>
  <c r="A2188"/>
  <c r="B2188"/>
  <c r="G2188"/>
  <c r="A2189"/>
  <c r="B2189"/>
  <c r="G2189"/>
  <c r="A2190"/>
  <c r="B2190"/>
  <c r="G2190"/>
  <c r="A2191"/>
  <c r="B2191"/>
  <c r="G2191"/>
  <c r="A2192"/>
  <c r="B2192"/>
  <c r="G2192"/>
  <c r="A2193"/>
  <c r="B2193"/>
  <c r="G2193"/>
  <c r="A2194"/>
  <c r="B2194"/>
  <c r="G2194"/>
  <c r="A2195"/>
  <c r="B2195"/>
  <c r="G2195"/>
  <c r="A2196"/>
  <c r="B2196"/>
  <c r="G2196"/>
  <c r="A2197"/>
  <c r="B2197"/>
  <c r="G2197"/>
  <c r="A2198"/>
  <c r="B2198"/>
  <c r="G2198"/>
  <c r="A2199"/>
  <c r="B2199"/>
  <c r="G2199"/>
  <c r="A2200"/>
  <c r="B2200"/>
  <c r="G2200"/>
  <c r="A2201"/>
  <c r="B2201"/>
  <c r="G2201"/>
  <c r="A2202"/>
  <c r="B2202"/>
  <c r="G2202"/>
  <c r="A2203"/>
  <c r="B2203"/>
  <c r="G2203"/>
  <c r="A2204"/>
  <c r="B2204"/>
  <c r="G2204"/>
  <c r="A2205"/>
  <c r="B2205"/>
  <c r="G2205"/>
  <c r="A2206"/>
  <c r="B2206"/>
  <c r="G2206"/>
  <c r="A2207"/>
  <c r="B2207"/>
  <c r="G2207"/>
  <c r="A2208"/>
  <c r="B2208"/>
  <c r="G2208"/>
  <c r="A2209"/>
  <c r="B2209"/>
  <c r="G2209"/>
  <c r="A2210"/>
  <c r="B2210"/>
  <c r="G2210"/>
  <c r="A2211"/>
  <c r="B2211"/>
  <c r="G2211"/>
  <c r="A2212"/>
  <c r="B2212"/>
  <c r="G2212"/>
  <c r="A2213"/>
  <c r="B2213"/>
  <c r="G2213"/>
  <c r="A2214"/>
  <c r="B2214"/>
  <c r="G2214"/>
  <c r="A2215"/>
  <c r="B2215"/>
  <c r="G2215"/>
  <c r="A2216"/>
  <c r="B2216"/>
  <c r="G2216"/>
  <c r="A2217"/>
  <c r="B2217"/>
  <c r="G2217"/>
  <c r="A2218"/>
  <c r="B2218"/>
  <c r="G2218"/>
  <c r="A2219"/>
  <c r="B2219"/>
  <c r="G2219"/>
  <c r="A2220"/>
  <c r="B2220"/>
  <c r="G2220"/>
  <c r="A2221"/>
  <c r="B2221"/>
  <c r="G2221"/>
  <c r="A2222"/>
  <c r="B2222"/>
  <c r="G2222"/>
  <c r="A2223"/>
  <c r="B2223"/>
  <c r="G2223"/>
  <c r="A2224"/>
  <c r="B2224"/>
  <c r="G2224"/>
  <c r="A2225"/>
  <c r="B2225"/>
  <c r="G2225"/>
  <c r="A2226"/>
  <c r="B2226"/>
  <c r="G2226"/>
  <c r="A2227"/>
  <c r="B2227"/>
  <c r="G2227"/>
  <c r="A2228"/>
  <c r="B2228"/>
  <c r="G2228"/>
  <c r="A2229"/>
  <c r="B2229"/>
  <c r="G2229"/>
  <c r="A2230"/>
  <c r="B2230"/>
  <c r="G2230"/>
  <c r="A2231"/>
  <c r="B2231"/>
  <c r="G2231"/>
  <c r="A2232"/>
  <c r="B2232"/>
  <c r="G2232"/>
  <c r="A2233"/>
  <c r="B2233"/>
  <c r="G2233"/>
  <c r="A2234"/>
  <c r="B2234"/>
  <c r="G2234"/>
  <c r="A2235"/>
  <c r="B2235"/>
  <c r="G2235"/>
  <c r="A2236"/>
  <c r="B2236"/>
  <c r="G2236"/>
  <c r="A2237"/>
  <c r="B2237"/>
  <c r="H2237"/>
  <c r="A2238"/>
  <c r="B2238"/>
  <c r="G2238"/>
  <c r="A2239"/>
  <c r="B2239"/>
  <c r="G2239"/>
  <c r="A2240"/>
  <c r="B2240"/>
  <c r="G2240"/>
  <c r="A2241"/>
  <c r="B2241"/>
  <c r="G2241"/>
  <c r="A2242"/>
  <c r="B2242"/>
  <c r="G2242"/>
  <c r="A2243"/>
  <c r="B2243"/>
  <c r="G2243"/>
  <c r="A2244"/>
  <c r="B2244"/>
  <c r="G2244"/>
  <c r="A2245"/>
  <c r="B2245"/>
  <c r="G2245"/>
  <c r="A2246"/>
  <c r="B2246"/>
  <c r="G2246"/>
  <c r="A2247"/>
  <c r="B2247"/>
  <c r="G2247"/>
  <c r="A2248"/>
  <c r="B2248"/>
  <c r="G2248"/>
  <c r="A2249"/>
  <c r="B2249"/>
  <c r="G2249"/>
  <c r="A2250"/>
  <c r="B2250"/>
  <c r="G2250"/>
  <c r="A2251"/>
  <c r="B2251"/>
  <c r="G2251"/>
  <c r="A2252"/>
  <c r="B2252"/>
  <c r="G2252"/>
  <c r="A2253"/>
  <c r="B2253"/>
  <c r="G2253"/>
  <c r="A2254"/>
  <c r="B2254"/>
  <c r="G2254"/>
  <c r="A2255"/>
  <c r="B2255"/>
  <c r="G2255"/>
  <c r="A2256"/>
  <c r="B2256"/>
  <c r="G2256"/>
  <c r="A2257"/>
  <c r="B2257"/>
  <c r="G2257"/>
  <c r="A2258"/>
  <c r="B2258"/>
  <c r="G2258"/>
  <c r="A2259"/>
  <c r="B2259"/>
  <c r="G2259"/>
  <c r="A2260"/>
  <c r="B2260"/>
  <c r="G2260"/>
  <c r="A2261"/>
  <c r="B2261"/>
  <c r="G2261"/>
  <c r="A2262"/>
  <c r="B2262"/>
  <c r="G2262"/>
  <c r="A2263"/>
  <c r="B2263"/>
  <c r="G2263"/>
  <c r="A2264"/>
  <c r="B2264"/>
  <c r="H2264"/>
  <c r="A2265"/>
  <c r="B2265"/>
  <c r="G2265"/>
  <c r="A2266"/>
  <c r="B2266"/>
  <c r="G2266"/>
  <c r="A2267"/>
  <c r="B2267"/>
  <c r="G2267"/>
  <c r="A2268"/>
  <c r="B2268"/>
  <c r="G2268"/>
  <c r="A2269"/>
  <c r="B2269"/>
  <c r="G2269"/>
  <c r="A2270"/>
  <c r="B2270"/>
  <c r="G2270"/>
  <c r="A2271"/>
  <c r="B2271"/>
  <c r="G2271"/>
  <c r="A2272"/>
  <c r="B2272"/>
  <c r="G2272"/>
  <c r="A2273"/>
  <c r="B2273"/>
  <c r="G2273"/>
  <c r="A2274"/>
  <c r="B2274"/>
  <c r="G2274"/>
  <c r="A2275"/>
  <c r="B2275"/>
  <c r="G2275"/>
  <c r="A2276"/>
  <c r="B2276"/>
  <c r="G2276"/>
  <c r="A2277"/>
  <c r="B2277"/>
  <c r="G2277"/>
  <c r="A2278"/>
  <c r="B2278"/>
  <c r="G2278"/>
  <c r="A2279"/>
  <c r="B2279"/>
  <c r="G2279"/>
  <c r="A2280"/>
  <c r="B2280"/>
  <c r="G2280"/>
  <c r="A2281"/>
  <c r="B2281"/>
  <c r="G2281"/>
  <c r="A2282"/>
  <c r="B2282"/>
  <c r="G2282"/>
  <c r="A2283"/>
  <c r="B2283"/>
  <c r="G2283"/>
  <c r="A2284"/>
  <c r="B2284"/>
  <c r="G2284"/>
  <c r="A2285"/>
  <c r="B2285"/>
  <c r="G2285"/>
  <c r="A2286"/>
  <c r="B2286"/>
  <c r="G2286"/>
  <c r="A2287"/>
  <c r="B2287"/>
  <c r="G2287"/>
  <c r="A2288"/>
  <c r="B2288"/>
  <c r="G2288"/>
  <c r="A2289"/>
  <c r="B2289"/>
  <c r="G2289"/>
  <c r="A2290"/>
  <c r="B2290"/>
  <c r="G2290"/>
  <c r="A2291"/>
  <c r="B2291"/>
  <c r="G2291"/>
  <c r="A2292"/>
  <c r="B2292"/>
  <c r="G2292"/>
  <c r="A2293"/>
  <c r="B2293"/>
  <c r="G2293"/>
  <c r="A2294"/>
  <c r="B2294"/>
  <c r="G2294"/>
  <c r="A2295"/>
  <c r="B2295"/>
  <c r="G2295"/>
  <c r="A2296"/>
  <c r="B2296"/>
  <c r="G2296"/>
  <c r="A2297"/>
  <c r="B2297"/>
  <c r="G2297"/>
  <c r="A2298"/>
  <c r="B2298"/>
  <c r="G2298"/>
  <c r="A2299"/>
  <c r="B2299"/>
  <c r="G2299"/>
  <c r="A2300"/>
  <c r="B2300"/>
  <c r="G2300"/>
  <c r="A2301"/>
  <c r="B2301"/>
  <c r="G2301"/>
  <c r="A2302"/>
  <c r="B2302"/>
  <c r="G2302"/>
  <c r="A2303"/>
  <c r="B2303"/>
  <c r="G2303"/>
  <c r="A2304"/>
  <c r="B2304"/>
  <c r="G2304"/>
  <c r="A2305"/>
  <c r="B2305"/>
  <c r="G2305"/>
  <c r="A2306"/>
  <c r="B2306"/>
  <c r="G2306"/>
  <c r="A2307"/>
  <c r="B2307"/>
  <c r="G2307"/>
  <c r="A2308"/>
  <c r="B2308"/>
  <c r="G2308"/>
  <c r="A2309"/>
  <c r="B2309"/>
  <c r="G2309"/>
  <c r="A2310"/>
  <c r="B2310"/>
  <c r="G2310"/>
  <c r="A2311"/>
  <c r="B2311"/>
  <c r="G2311"/>
  <c r="A2312"/>
  <c r="B2312"/>
  <c r="G2312"/>
  <c r="A2313"/>
  <c r="B2313"/>
  <c r="G2313"/>
  <c r="A2314"/>
  <c r="B2314"/>
  <c r="G2314"/>
  <c r="A2315"/>
  <c r="B2315"/>
  <c r="G2315"/>
  <c r="A2316"/>
  <c r="B2316"/>
  <c r="G2316"/>
  <c r="A2317"/>
  <c r="B2317"/>
  <c r="G2317"/>
  <c r="A2318"/>
  <c r="B2318"/>
  <c r="G2318"/>
  <c r="A2319"/>
  <c r="B2319"/>
  <c r="G2319"/>
  <c r="A2320"/>
  <c r="B2320"/>
  <c r="G2320"/>
  <c r="A2321"/>
  <c r="B2321"/>
  <c r="G2321"/>
  <c r="A2322"/>
  <c r="B2322"/>
  <c r="G2322"/>
  <c r="A2323"/>
  <c r="B2323"/>
  <c r="G2323"/>
  <c r="A2324"/>
  <c r="B2324"/>
  <c r="G2324"/>
  <c r="A2325"/>
  <c r="B2325"/>
  <c r="G2325"/>
  <c r="A2326"/>
  <c r="B2326"/>
  <c r="G2326"/>
  <c r="A2327"/>
  <c r="B2327"/>
  <c r="G2327"/>
  <c r="A2328"/>
  <c r="B2328"/>
  <c r="G2328"/>
  <c r="A2329"/>
  <c r="B2329"/>
  <c r="G2329"/>
  <c r="A2330"/>
  <c r="B2330"/>
  <c r="G2330"/>
  <c r="A2331"/>
  <c r="B2331"/>
  <c r="G2331"/>
  <c r="A2332"/>
  <c r="B2332"/>
  <c r="G2332"/>
  <c r="A2333"/>
  <c r="B2333"/>
  <c r="G2333"/>
  <c r="A2334"/>
  <c r="B2334"/>
  <c r="G2334"/>
  <c r="A2335"/>
  <c r="B2335"/>
  <c r="G2335"/>
  <c r="A2336"/>
  <c r="B2336"/>
  <c r="G2336"/>
  <c r="A2337"/>
  <c r="B2337"/>
  <c r="G2337"/>
  <c r="A2338"/>
  <c r="B2338"/>
  <c r="G2338"/>
  <c r="A2339"/>
  <c r="B2339"/>
  <c r="G2339"/>
  <c r="A2340"/>
  <c r="B2340"/>
  <c r="G2340"/>
  <c r="A2341"/>
  <c r="B2341"/>
  <c r="G2341"/>
  <c r="A2342"/>
  <c r="B2342"/>
  <c r="G2342"/>
  <c r="A2343"/>
  <c r="B2343"/>
  <c r="G2343"/>
  <c r="A2344"/>
  <c r="B2344"/>
  <c r="G2344"/>
  <c r="A2345"/>
  <c r="B2345"/>
  <c r="G2345"/>
  <c r="A2346"/>
  <c r="B2346"/>
  <c r="G2346"/>
  <c r="A2347"/>
  <c r="B2347"/>
  <c r="G2347"/>
  <c r="A2348"/>
  <c r="B2348"/>
  <c r="G2348"/>
  <c r="A2349"/>
  <c r="B2349"/>
  <c r="G2349"/>
  <c r="A2350"/>
  <c r="B2350"/>
  <c r="H2350"/>
  <c r="A2351"/>
  <c r="B2351"/>
  <c r="G2351"/>
  <c r="A2352"/>
  <c r="B2352"/>
  <c r="G2352"/>
  <c r="A2353"/>
  <c r="B2353"/>
  <c r="G2353"/>
  <c r="A2354"/>
  <c r="B2354"/>
  <c r="G2354"/>
  <c r="A2355"/>
  <c r="B2355"/>
  <c r="G2355"/>
  <c r="A2356"/>
  <c r="B2356"/>
  <c r="G2356"/>
  <c r="A2357"/>
  <c r="B2357"/>
  <c r="G2357"/>
  <c r="A2358"/>
  <c r="B2358"/>
  <c r="G2358"/>
  <c r="A2359"/>
  <c r="B2359"/>
  <c r="G2359"/>
  <c r="A2360"/>
  <c r="B2360"/>
  <c r="G2360"/>
  <c r="A2361"/>
  <c r="B2361"/>
  <c r="G2361"/>
  <c r="A2362"/>
  <c r="B2362"/>
  <c r="G2362"/>
  <c r="A2363"/>
  <c r="B2363"/>
  <c r="G2363"/>
  <c r="A2364"/>
  <c r="B2364"/>
  <c r="G2364"/>
  <c r="A2365"/>
  <c r="B2365"/>
  <c r="G2365"/>
  <c r="A2366"/>
  <c r="B2366"/>
  <c r="H2366"/>
  <c r="A2367"/>
  <c r="B2367"/>
  <c r="G2367"/>
  <c r="A2368"/>
  <c r="B2368"/>
  <c r="G2368"/>
  <c r="A2369"/>
  <c r="B2369"/>
  <c r="G2369"/>
  <c r="A2370"/>
  <c r="B2370"/>
  <c r="G2370"/>
  <c r="A2371"/>
  <c r="B2371"/>
  <c r="G2371"/>
  <c r="A2372"/>
  <c r="B2372"/>
  <c r="G2372"/>
  <c r="A2373"/>
  <c r="B2373"/>
  <c r="G2373"/>
  <c r="A2374"/>
  <c r="B2374"/>
  <c r="G2374"/>
  <c r="A2375"/>
  <c r="B2375"/>
  <c r="G2375"/>
  <c r="A2376"/>
  <c r="B2376"/>
  <c r="G2376"/>
  <c r="A2377"/>
  <c r="B2377"/>
  <c r="G2377"/>
  <c r="A2378"/>
  <c r="B2378"/>
  <c r="G2378"/>
  <c r="A2379"/>
  <c r="B2379"/>
  <c r="G2379"/>
  <c r="A2380"/>
  <c r="B2380"/>
  <c r="G2380"/>
  <c r="A2381"/>
  <c r="B2381"/>
  <c r="G2381"/>
  <c r="A2382"/>
  <c r="B2382"/>
  <c r="G2382"/>
  <c r="A2383"/>
  <c r="B2383"/>
  <c r="G2383"/>
  <c r="A2384"/>
  <c r="B2384"/>
  <c r="G2384"/>
  <c r="A2385"/>
  <c r="B2385"/>
  <c r="G2385"/>
  <c r="A2386"/>
  <c r="B2386"/>
  <c r="G2386"/>
  <c r="A2387"/>
  <c r="B2387"/>
  <c r="G2387"/>
  <c r="A2388"/>
  <c r="B2388"/>
  <c r="G2388"/>
  <c r="A2389"/>
  <c r="B2389"/>
  <c r="G2389"/>
  <c r="A2390"/>
  <c r="B2390"/>
  <c r="G2390"/>
  <c r="A2391"/>
  <c r="B2391"/>
  <c r="G2391"/>
  <c r="A2392"/>
  <c r="B2392"/>
  <c r="G2392"/>
  <c r="A2393"/>
  <c r="B2393"/>
  <c r="G2393"/>
  <c r="A2394"/>
  <c r="B2394"/>
  <c r="G2394"/>
  <c r="A2395"/>
  <c r="B2395"/>
  <c r="G2395"/>
  <c r="A2396"/>
  <c r="B2396"/>
  <c r="G2396"/>
  <c r="A2397"/>
  <c r="B2397"/>
  <c r="G2397"/>
  <c r="A2398"/>
  <c r="B2398"/>
  <c r="G2398"/>
  <c r="A2399"/>
  <c r="B2399"/>
  <c r="G2399"/>
  <c r="A2400"/>
  <c r="B2400"/>
  <c r="H2400"/>
  <c r="A2401"/>
  <c r="B2401"/>
  <c r="G2401"/>
  <c r="A2402"/>
  <c r="B2402"/>
  <c r="G2402"/>
  <c r="A2403"/>
  <c r="B2403"/>
  <c r="G2403"/>
  <c r="A2404"/>
  <c r="B2404"/>
  <c r="G2404"/>
  <c r="A2405"/>
  <c r="B2405"/>
  <c r="G2405"/>
  <c r="A2406"/>
  <c r="B2406"/>
  <c r="G2406"/>
  <c r="A2407"/>
  <c r="B2407"/>
  <c r="G2407"/>
  <c r="A2408"/>
  <c r="B2408"/>
  <c r="G2408"/>
  <c r="A2409"/>
  <c r="B2409"/>
  <c r="G2409"/>
  <c r="A2410"/>
  <c r="B2410"/>
  <c r="G2410"/>
  <c r="A2411"/>
  <c r="B2411"/>
  <c r="G2411"/>
  <c r="A2412"/>
  <c r="B2412"/>
  <c r="G2412"/>
  <c r="A2413"/>
  <c r="B2413"/>
  <c r="G2413"/>
  <c r="A2414"/>
  <c r="B2414"/>
  <c r="G2414"/>
  <c r="A2415"/>
  <c r="B2415"/>
  <c r="G2415"/>
  <c r="A2416"/>
  <c r="B2416"/>
  <c r="G2416"/>
  <c r="A2417"/>
  <c r="B2417"/>
  <c r="G2417"/>
  <c r="A2418"/>
  <c r="B2418"/>
  <c r="G2418"/>
  <c r="A2419"/>
  <c r="B2419"/>
  <c r="G2419"/>
  <c r="A2420"/>
  <c r="B2420"/>
  <c r="G2420"/>
  <c r="A2421"/>
  <c r="B2421"/>
  <c r="G2421"/>
  <c r="A2422"/>
  <c r="B2422"/>
  <c r="G2422"/>
  <c r="A2423"/>
  <c r="B2423"/>
  <c r="G2423"/>
  <c r="A2424"/>
  <c r="B2424"/>
  <c r="G2424"/>
  <c r="A2425"/>
  <c r="B2425"/>
  <c r="G2425"/>
  <c r="A2426"/>
  <c r="B2426"/>
  <c r="G2426"/>
  <c r="A2427"/>
  <c r="B2427"/>
  <c r="G2427"/>
  <c r="A2428"/>
  <c r="B2428"/>
  <c r="G2428"/>
  <c r="A2429"/>
  <c r="B2429"/>
  <c r="G2429"/>
  <c r="A2430"/>
  <c r="B2430"/>
  <c r="G2430"/>
  <c r="A2431"/>
  <c r="B2431"/>
  <c r="G2431"/>
  <c r="A2432"/>
  <c r="B2432"/>
  <c r="G2432"/>
  <c r="A2433"/>
  <c r="B2433"/>
  <c r="G2433"/>
  <c r="A2434"/>
  <c r="B2434"/>
  <c r="G2434"/>
  <c r="A2435"/>
  <c r="B2435"/>
  <c r="G2435"/>
  <c r="A2436"/>
  <c r="B2436"/>
  <c r="G2436"/>
  <c r="A2437"/>
  <c r="B2437"/>
  <c r="G2437"/>
  <c r="A2438"/>
  <c r="B2438"/>
  <c r="G2438"/>
  <c r="A2439"/>
  <c r="B2439"/>
  <c r="G2439"/>
  <c r="A2440"/>
  <c r="B2440"/>
  <c r="G2440"/>
  <c r="A2441"/>
  <c r="B2441"/>
  <c r="G2441"/>
  <c r="A2442"/>
  <c r="B2442"/>
  <c r="G2442"/>
  <c r="A2443"/>
  <c r="B2443"/>
  <c r="G2443"/>
  <c r="A2444"/>
  <c r="B2444"/>
  <c r="G2444"/>
  <c r="A2445"/>
  <c r="B2445"/>
  <c r="G2445"/>
  <c r="A2446"/>
  <c r="B2446"/>
  <c r="G2446"/>
  <c r="A2447"/>
  <c r="B2447"/>
  <c r="G2447"/>
  <c r="A2448"/>
  <c r="B2448"/>
  <c r="G2448"/>
  <c r="A2449"/>
  <c r="B2449"/>
  <c r="G2449"/>
  <c r="A2450"/>
  <c r="B2450"/>
  <c r="G2450"/>
  <c r="A2451"/>
  <c r="B2451"/>
  <c r="G2451"/>
  <c r="A2452"/>
  <c r="B2452"/>
  <c r="G2452"/>
  <c r="A2453"/>
  <c r="B2453"/>
  <c r="G2453"/>
  <c r="A2454"/>
  <c r="B2454"/>
  <c r="G2454"/>
  <c r="A2455"/>
  <c r="B2455"/>
  <c r="G2455"/>
  <c r="A2456"/>
  <c r="B2456"/>
  <c r="G2456"/>
  <c r="A2457"/>
  <c r="B2457"/>
  <c r="G2457"/>
  <c r="A2458"/>
  <c r="B2458"/>
  <c r="G2458"/>
  <c r="A2459"/>
  <c r="B2459"/>
  <c r="G2459"/>
  <c r="A2460"/>
  <c r="B2460"/>
  <c r="G2460"/>
  <c r="A2461"/>
  <c r="B2461"/>
  <c r="G2461"/>
  <c r="A2462"/>
  <c r="B2462"/>
  <c r="G2462"/>
  <c r="A2463"/>
  <c r="B2463"/>
  <c r="G2463"/>
  <c r="A2464"/>
  <c r="B2464"/>
  <c r="G2464"/>
  <c r="A2465"/>
  <c r="B2465"/>
  <c r="G2465"/>
  <c r="A2466"/>
  <c r="B2466"/>
  <c r="G2466"/>
  <c r="A2467"/>
  <c r="B2467"/>
  <c r="G2467"/>
  <c r="A2468"/>
  <c r="B2468"/>
  <c r="G2468"/>
  <c r="A2469"/>
  <c r="B2469"/>
  <c r="G2469"/>
  <c r="A2470"/>
  <c r="B2470"/>
  <c r="G2470"/>
  <c r="A2471"/>
  <c r="B2471"/>
  <c r="G2471"/>
  <c r="A2472"/>
  <c r="B2472"/>
  <c r="G2472"/>
  <c r="A2473"/>
  <c r="B2473"/>
  <c r="G2473"/>
  <c r="A2474"/>
  <c r="B2474"/>
  <c r="G2474"/>
  <c r="A2475"/>
  <c r="B2475"/>
  <c r="G2475"/>
  <c r="A2476"/>
  <c r="B2476"/>
  <c r="G2476"/>
  <c r="A2477"/>
  <c r="B2477"/>
  <c r="G2477"/>
  <c r="A2478"/>
  <c r="B2478"/>
  <c r="G2478"/>
  <c r="A2479"/>
  <c r="B2479"/>
  <c r="G2479"/>
  <c r="A2480"/>
  <c r="B2480"/>
  <c r="G2480"/>
  <c r="A2481"/>
  <c r="B2481"/>
  <c r="G2481"/>
  <c r="A2482"/>
  <c r="B2482"/>
  <c r="G2482"/>
  <c r="A2483"/>
  <c r="B2483"/>
  <c r="G2483"/>
  <c r="A2484"/>
  <c r="B2484"/>
  <c r="G2484"/>
  <c r="A2485"/>
  <c r="B2485"/>
  <c r="G2485"/>
  <c r="A2486"/>
  <c r="B2486"/>
  <c r="G2486"/>
  <c r="A2487"/>
  <c r="B2487"/>
  <c r="G2487"/>
  <c r="A2488"/>
  <c r="B2488"/>
  <c r="G2488"/>
  <c r="A2489"/>
  <c r="B2489"/>
  <c r="G2489"/>
  <c r="A2490"/>
  <c r="B2490"/>
  <c r="G2490"/>
  <c r="A2491"/>
  <c r="B2491"/>
  <c r="G2491"/>
  <c r="A2492"/>
  <c r="B2492"/>
  <c r="G2492"/>
  <c r="A2493"/>
  <c r="B2493"/>
  <c r="G2493"/>
  <c r="A2494"/>
  <c r="B2494"/>
  <c r="G2494"/>
  <c r="A2495"/>
  <c r="B2495"/>
  <c r="G2495"/>
  <c r="A2496"/>
  <c r="B2496"/>
  <c r="G2496"/>
  <c r="A2497"/>
  <c r="B2497"/>
  <c r="G2497"/>
  <c r="A2498"/>
  <c r="B2498"/>
  <c r="G2498"/>
  <c r="A2499"/>
  <c r="B2499"/>
  <c r="G2499"/>
  <c r="A2500"/>
  <c r="B2500"/>
  <c r="G2500"/>
  <c r="A2501"/>
  <c r="B2501"/>
  <c r="G2501"/>
  <c r="A2502"/>
  <c r="B2502"/>
  <c r="G2502"/>
  <c r="A2503"/>
  <c r="B2503"/>
  <c r="G2503"/>
  <c r="A2504"/>
  <c r="B2504"/>
  <c r="G2504"/>
  <c r="A2505"/>
  <c r="B2505"/>
  <c r="G2505"/>
  <c r="A2506"/>
  <c r="B2506"/>
  <c r="G2506"/>
  <c r="A2507"/>
  <c r="B2507"/>
  <c r="H2507"/>
  <c r="A2508"/>
  <c r="B2508"/>
  <c r="G2508"/>
  <c r="A2509"/>
  <c r="B2509"/>
  <c r="G2509"/>
  <c r="A2510"/>
  <c r="B2510"/>
  <c r="G2510"/>
  <c r="A2511"/>
  <c r="B2511"/>
  <c r="G2511"/>
  <c r="A2512"/>
  <c r="B2512"/>
  <c r="G2512"/>
  <c r="A2513"/>
  <c r="B2513"/>
  <c r="G2513"/>
  <c r="A2514"/>
  <c r="B2514"/>
  <c r="G2514"/>
  <c r="A2515"/>
  <c r="B2515"/>
  <c r="G2515"/>
  <c r="A2516"/>
  <c r="B2516"/>
  <c r="G2516"/>
  <c r="A2517"/>
  <c r="B2517"/>
  <c r="G2517"/>
  <c r="A2518"/>
  <c r="B2518"/>
  <c r="G2518"/>
  <c r="A2519"/>
  <c r="B2519"/>
  <c r="G2519"/>
  <c r="A2520"/>
  <c r="B2520"/>
  <c r="G2520"/>
  <c r="A2521"/>
  <c r="B2521"/>
  <c r="G2521"/>
  <c r="A2522"/>
  <c r="B2522"/>
  <c r="G2522"/>
  <c r="A2523"/>
  <c r="B2523"/>
  <c r="G2523"/>
  <c r="A2524"/>
  <c r="B2524"/>
  <c r="G2524"/>
  <c r="A2525"/>
  <c r="B2525"/>
  <c r="G2525"/>
  <c r="A2526"/>
  <c r="B2526"/>
  <c r="G2526"/>
  <c r="A2527"/>
  <c r="B2527"/>
  <c r="G2527"/>
  <c r="A2528"/>
  <c r="B2528"/>
  <c r="G2528"/>
  <c r="A2529"/>
  <c r="B2529"/>
  <c r="G2529"/>
  <c r="A2530"/>
  <c r="B2530"/>
  <c r="G2530"/>
  <c r="A2531"/>
  <c r="B2531"/>
  <c r="G2531"/>
  <c r="A2532"/>
  <c r="B2532"/>
  <c r="G2532"/>
  <c r="A2533"/>
  <c r="B2533"/>
  <c r="G2533"/>
  <c r="A2534"/>
  <c r="B2534"/>
  <c r="G2534"/>
  <c r="A2535"/>
  <c r="B2535"/>
  <c r="G2535"/>
  <c r="A2536"/>
  <c r="B2536"/>
  <c r="G2536"/>
  <c r="A2537"/>
  <c r="B2537"/>
  <c r="G2537"/>
  <c r="A2538"/>
  <c r="B2538"/>
  <c r="G2538"/>
  <c r="A2539"/>
  <c r="B2539"/>
  <c r="G2539"/>
  <c r="A2540"/>
  <c r="B2540"/>
  <c r="H2540"/>
  <c r="A2541"/>
  <c r="B2541"/>
  <c r="G2541"/>
  <c r="A2542"/>
  <c r="B2542"/>
  <c r="G2542"/>
  <c r="A2543"/>
  <c r="B2543"/>
  <c r="G2543"/>
  <c r="A2544"/>
  <c r="B2544"/>
  <c r="G2544"/>
  <c r="A2545"/>
  <c r="B2545"/>
  <c r="G2545"/>
  <c r="A2546"/>
  <c r="B2546"/>
  <c r="G2546"/>
  <c r="A2547"/>
  <c r="B2547"/>
  <c r="G2547"/>
  <c r="A2548"/>
  <c r="B2548"/>
  <c r="G2548"/>
  <c r="A2549"/>
  <c r="B2549"/>
  <c r="G2549"/>
  <c r="A2550"/>
  <c r="B2550"/>
  <c r="G2550"/>
  <c r="A2551"/>
  <c r="B2551"/>
  <c r="G2551"/>
  <c r="A2552"/>
  <c r="B2552"/>
  <c r="G2552"/>
  <c r="A2553"/>
  <c r="B2553"/>
  <c r="G2553"/>
  <c r="A2554"/>
  <c r="B2554"/>
  <c r="G2554"/>
  <c r="A2555"/>
  <c r="B2555"/>
  <c r="G2555"/>
  <c r="A2556"/>
  <c r="B2556"/>
  <c r="G2556"/>
  <c r="A2557"/>
  <c r="B2557"/>
  <c r="G2557"/>
  <c r="A2558"/>
  <c r="B2558"/>
  <c r="G2558"/>
  <c r="A2559"/>
  <c r="B2559"/>
  <c r="G2559"/>
  <c r="A2560"/>
  <c r="B2560"/>
  <c r="G2560"/>
  <c r="A2561"/>
  <c r="B2561"/>
  <c r="G2561"/>
  <c r="A2562"/>
  <c r="B2562"/>
  <c r="G2562"/>
  <c r="A2563"/>
  <c r="B2563"/>
  <c r="G2563"/>
  <c r="A2564"/>
  <c r="B2564"/>
  <c r="G2564"/>
  <c r="A2565"/>
  <c r="B2565"/>
  <c r="G2565"/>
  <c r="A2566"/>
  <c r="B2566"/>
  <c r="G2566"/>
  <c r="A2567"/>
  <c r="B2567"/>
  <c r="G2567"/>
  <c r="A2568"/>
  <c r="B2568"/>
  <c r="G2568"/>
  <c r="A2569"/>
  <c r="B2569"/>
  <c r="G2569"/>
  <c r="A2570"/>
  <c r="B2570"/>
  <c r="G2570"/>
  <c r="A2571"/>
  <c r="B2571"/>
  <c r="G2571"/>
  <c r="A2572"/>
  <c r="B2572"/>
  <c r="G2572"/>
  <c r="A2573"/>
  <c r="B2573"/>
  <c r="G2573"/>
  <c r="A2574"/>
  <c r="B2574"/>
  <c r="G2574"/>
  <c r="A2575"/>
  <c r="B2575"/>
  <c r="G2575"/>
  <c r="A2576"/>
  <c r="B2576"/>
  <c r="G2576"/>
  <c r="A2577"/>
  <c r="B2577"/>
  <c r="G2577"/>
  <c r="A2578"/>
  <c r="B2578"/>
  <c r="G2578"/>
  <c r="A2579"/>
  <c r="B2579"/>
  <c r="G2579"/>
  <c r="A2580"/>
  <c r="B2580"/>
  <c r="G2580"/>
  <c r="A2581"/>
  <c r="B2581"/>
  <c r="G2581"/>
  <c r="A2582"/>
  <c r="B2582"/>
  <c r="G2582"/>
  <c r="A2583"/>
  <c r="B2583"/>
  <c r="G2583"/>
  <c r="A2584"/>
  <c r="B2584"/>
  <c r="G2584"/>
  <c r="A2585"/>
  <c r="B2585"/>
  <c r="G2585"/>
  <c r="A2586"/>
  <c r="B2586"/>
  <c r="G2586"/>
  <c r="A2587"/>
  <c r="B2587"/>
  <c r="G2587"/>
  <c r="A2588"/>
  <c r="B2588"/>
  <c r="G2588"/>
  <c r="A2589"/>
  <c r="B2589"/>
  <c r="G2589"/>
  <c r="A2590"/>
  <c r="B2590"/>
  <c r="G2590"/>
  <c r="A2591"/>
  <c r="B2591"/>
  <c r="G2591"/>
  <c r="A2592"/>
  <c r="B2592"/>
  <c r="G2592"/>
  <c r="A2593"/>
  <c r="B2593"/>
  <c r="G2593"/>
  <c r="A2594"/>
  <c r="B2594"/>
  <c r="G2594"/>
  <c r="A2595"/>
  <c r="B2595"/>
  <c r="G2595"/>
  <c r="A2596"/>
  <c r="B2596"/>
  <c r="G2596"/>
  <c r="A2597"/>
  <c r="B2597"/>
  <c r="G2597"/>
  <c r="A2598"/>
  <c r="B2598"/>
  <c r="G2598"/>
  <c r="A2599"/>
  <c r="B2599"/>
  <c r="G2599"/>
  <c r="A2600"/>
  <c r="B2600"/>
  <c r="G2600"/>
  <c r="A2601"/>
  <c r="B2601"/>
  <c r="G2601"/>
  <c r="A2602"/>
  <c r="B2602"/>
  <c r="G2602"/>
  <c r="A2603"/>
  <c r="B2603"/>
  <c r="G2603"/>
  <c r="A2604"/>
  <c r="B2604"/>
  <c r="G2604"/>
  <c r="A2605"/>
  <c r="B2605"/>
  <c r="G2605"/>
  <c r="A2606"/>
  <c r="B2606"/>
  <c r="H2606"/>
  <c r="A2607"/>
  <c r="B2607"/>
  <c r="G2607"/>
  <c r="A2608"/>
  <c r="B2608"/>
  <c r="G2608"/>
  <c r="A2609"/>
  <c r="B2609"/>
  <c r="G2609"/>
  <c r="A2610"/>
  <c r="B2610"/>
  <c r="G2610"/>
  <c r="A2611"/>
  <c r="B2611"/>
  <c r="G2611"/>
  <c r="A2612"/>
  <c r="B2612"/>
  <c r="G2612"/>
  <c r="A2613"/>
  <c r="B2613"/>
  <c r="G2613"/>
  <c r="A2614"/>
  <c r="B2614"/>
  <c r="G2614"/>
  <c r="A2615"/>
  <c r="B2615"/>
  <c r="G2615"/>
  <c r="A2616"/>
  <c r="B2616"/>
  <c r="G2616"/>
  <c r="A2617"/>
  <c r="B2617"/>
  <c r="G2617"/>
  <c r="A2618"/>
  <c r="B2618"/>
  <c r="G2618"/>
  <c r="A2619"/>
  <c r="B2619"/>
  <c r="H2619"/>
  <c r="A2620"/>
  <c r="B2620"/>
  <c r="G2620"/>
  <c r="A2621"/>
  <c r="B2621"/>
  <c r="G2621"/>
  <c r="A2622"/>
  <c r="B2622"/>
  <c r="G2622"/>
  <c r="A2623"/>
  <c r="B2623"/>
  <c r="G2623"/>
  <c r="A2624"/>
  <c r="B2624"/>
  <c r="G2624"/>
  <c r="A2625"/>
  <c r="B2625"/>
  <c r="G2625"/>
  <c r="A2626"/>
  <c r="B2626"/>
  <c r="G2626"/>
  <c r="A2627"/>
  <c r="B2627"/>
  <c r="G2627"/>
  <c r="A2628"/>
  <c r="B2628"/>
  <c r="G2628"/>
  <c r="A2629"/>
  <c r="B2629"/>
  <c r="G2629"/>
  <c r="A2630"/>
  <c r="B2630"/>
  <c r="G2630"/>
  <c r="A2631"/>
  <c r="B2631"/>
  <c r="G2631"/>
  <c r="A2632"/>
  <c r="B2632"/>
  <c r="G2632"/>
  <c r="A2633"/>
  <c r="B2633"/>
  <c r="G2633"/>
  <c r="A2634"/>
  <c r="B2634"/>
  <c r="G2634"/>
  <c r="A2635"/>
  <c r="B2635"/>
  <c r="G2635"/>
  <c r="A2636"/>
  <c r="B2636"/>
  <c r="G2636"/>
  <c r="A2637"/>
  <c r="B2637"/>
  <c r="G2637"/>
  <c r="A2638"/>
  <c r="B2638"/>
  <c r="G2638"/>
  <c r="A2639"/>
  <c r="B2639"/>
  <c r="G2639"/>
  <c r="A2640"/>
  <c r="B2640"/>
  <c r="G2640"/>
  <c r="A2641"/>
  <c r="B2641"/>
  <c r="G2641"/>
  <c r="A2642"/>
  <c r="B2642"/>
  <c r="G2642"/>
  <c r="A2643"/>
  <c r="B2643"/>
  <c r="G2643"/>
  <c r="A2644"/>
  <c r="B2644"/>
  <c r="G2644"/>
  <c r="A2645"/>
  <c r="B2645"/>
  <c r="G2645"/>
  <c r="A2646"/>
  <c r="B2646"/>
  <c r="G2646"/>
  <c r="A2647"/>
  <c r="B2647"/>
  <c r="G2647"/>
  <c r="A2648"/>
  <c r="B2648"/>
  <c r="G2648"/>
  <c r="A2649"/>
  <c r="B2649"/>
  <c r="G2649"/>
  <c r="A2650"/>
  <c r="B2650"/>
  <c r="G2650"/>
  <c r="A2651"/>
  <c r="B2651"/>
  <c r="G2651"/>
  <c r="A2652"/>
  <c r="B2652"/>
  <c r="G2652"/>
  <c r="A2653"/>
  <c r="B2653"/>
  <c r="G2653"/>
  <c r="A2654"/>
  <c r="B2654"/>
  <c r="H2654"/>
  <c r="A2655"/>
  <c r="B2655"/>
  <c r="G2655"/>
  <c r="A2656"/>
  <c r="B2656"/>
  <c r="G2656"/>
  <c r="A2657"/>
  <c r="B2657"/>
  <c r="G2657"/>
  <c r="A2658"/>
  <c r="B2658"/>
  <c r="G2658"/>
  <c r="A2659"/>
  <c r="B2659"/>
  <c r="G2659"/>
  <c r="A2660"/>
  <c r="B2660"/>
  <c r="G2660"/>
  <c r="A2661"/>
  <c r="B2661"/>
  <c r="G2661"/>
  <c r="A2662"/>
  <c r="B2662"/>
  <c r="G2662"/>
  <c r="A2663"/>
  <c r="B2663"/>
  <c r="G2663"/>
  <c r="A2664"/>
  <c r="B2664"/>
  <c r="G2664"/>
  <c r="A2665"/>
  <c r="B2665"/>
  <c r="G2665"/>
  <c r="A2666"/>
  <c r="B2666"/>
  <c r="G2666"/>
  <c r="A2667"/>
  <c r="B2667"/>
  <c r="G2667"/>
  <c r="A2668"/>
  <c r="B2668"/>
  <c r="G2668"/>
  <c r="A2669"/>
  <c r="B2669"/>
  <c r="G2669"/>
  <c r="A2670"/>
  <c r="B2670"/>
  <c r="G2670"/>
  <c r="A2671"/>
  <c r="B2671"/>
  <c r="G2671"/>
  <c r="A2672"/>
  <c r="B2672"/>
  <c r="G2672"/>
  <c r="A2673"/>
  <c r="B2673"/>
  <c r="G2673"/>
  <c r="A2674"/>
  <c r="B2674"/>
  <c r="G2674"/>
  <c r="A2675"/>
  <c r="B2675"/>
  <c r="G2675"/>
  <c r="A2676"/>
  <c r="B2676"/>
  <c r="G2676"/>
  <c r="A2677"/>
  <c r="B2677"/>
  <c r="G2677"/>
  <c r="A2678"/>
  <c r="B2678"/>
  <c r="G2678"/>
  <c r="A2679"/>
  <c r="B2679"/>
  <c r="G2679"/>
  <c r="A2680"/>
  <c r="B2680"/>
  <c r="G2680"/>
  <c r="A2681"/>
  <c r="B2681"/>
  <c r="G2681"/>
  <c r="A2682"/>
  <c r="B2682"/>
  <c r="G2682"/>
  <c r="A2683"/>
  <c r="B2683"/>
  <c r="G2683"/>
  <c r="A2684"/>
  <c r="B2684"/>
  <c r="G2684"/>
  <c r="A2685"/>
  <c r="B2685"/>
  <c r="G2685"/>
  <c r="A2686"/>
  <c r="B2686"/>
  <c r="G2686"/>
  <c r="A2687"/>
  <c r="B2687"/>
  <c r="G2687"/>
  <c r="A2688"/>
  <c r="B2688"/>
  <c r="G2688"/>
  <c r="A2689"/>
  <c r="B2689"/>
  <c r="G2689"/>
  <c r="A2690"/>
  <c r="B2690"/>
  <c r="G2690"/>
  <c r="A2691"/>
  <c r="B2691"/>
  <c r="G2691"/>
  <c r="A2692"/>
  <c r="B2692"/>
  <c r="G2692"/>
  <c r="A2693"/>
  <c r="B2693"/>
  <c r="G2693"/>
  <c r="A2694"/>
  <c r="B2694"/>
  <c r="G2694"/>
  <c r="A2695"/>
  <c r="B2695"/>
  <c r="G2695"/>
  <c r="A2696"/>
  <c r="B2696"/>
  <c r="G2696"/>
  <c r="A2697"/>
  <c r="B2697"/>
  <c r="G2697"/>
  <c r="A2698"/>
  <c r="B2698"/>
  <c r="G2698"/>
  <c r="A2699"/>
  <c r="B2699"/>
  <c r="G2699"/>
  <c r="A2700"/>
  <c r="B2700"/>
  <c r="G2700"/>
  <c r="A2701"/>
  <c r="B2701"/>
  <c r="G2701"/>
  <c r="A2702"/>
  <c r="B2702"/>
  <c r="G2702"/>
  <c r="A2703"/>
  <c r="B2703"/>
  <c r="G2703"/>
  <c r="A2704"/>
  <c r="B2704"/>
  <c r="G2704"/>
  <c r="A2705"/>
  <c r="B2705"/>
  <c r="G2705"/>
  <c r="A2706"/>
  <c r="B2706"/>
  <c r="G2706"/>
  <c r="A2707"/>
  <c r="B2707"/>
  <c r="G2707"/>
  <c r="A2708"/>
  <c r="B2708"/>
  <c r="G2708"/>
  <c r="A2709"/>
  <c r="B2709"/>
  <c r="G2709"/>
  <c r="A2710"/>
  <c r="B2710"/>
  <c r="G2710"/>
  <c r="A2711"/>
  <c r="B2711"/>
  <c r="G2711"/>
  <c r="A2712"/>
  <c r="B2712"/>
  <c r="G2712"/>
  <c r="A2713"/>
  <c r="B2713"/>
  <c r="G2713"/>
  <c r="A2714"/>
  <c r="B2714"/>
  <c r="G2714"/>
  <c r="A2715"/>
  <c r="B2715"/>
  <c r="G2715"/>
  <c r="A2716"/>
  <c r="B2716"/>
  <c r="G2716"/>
  <c r="A2717"/>
  <c r="B2717"/>
  <c r="G2717"/>
  <c r="A2718"/>
  <c r="B2718"/>
  <c r="G2718"/>
  <c r="A2719"/>
  <c r="B2719"/>
  <c r="G2719"/>
  <c r="A2720"/>
  <c r="B2720"/>
  <c r="G2720"/>
  <c r="A2721"/>
  <c r="B2721"/>
  <c r="G2721"/>
  <c r="A2722"/>
  <c r="B2722"/>
  <c r="G2722"/>
  <c r="A2723"/>
  <c r="B2723"/>
  <c r="G2723"/>
  <c r="A2724"/>
  <c r="B2724"/>
  <c r="G2724"/>
  <c r="A2725"/>
  <c r="B2725"/>
  <c r="G2725"/>
  <c r="A2726"/>
  <c r="B2726"/>
  <c r="G2726"/>
  <c r="A2727"/>
  <c r="B2727"/>
  <c r="G2727"/>
  <c r="A2728"/>
  <c r="B2728"/>
  <c r="G2728"/>
  <c r="A2729"/>
  <c r="B2729"/>
  <c r="G2729"/>
  <c r="A2730"/>
  <c r="B2730"/>
  <c r="H2730"/>
  <c r="A2731"/>
  <c r="B2731"/>
  <c r="G2731"/>
  <c r="A2732"/>
  <c r="B2732"/>
  <c r="G2732"/>
  <c r="A2733"/>
  <c r="B2733"/>
  <c r="G2733"/>
  <c r="A2734"/>
  <c r="B2734"/>
  <c r="G2734"/>
  <c r="A2735"/>
  <c r="B2735"/>
  <c r="G2735"/>
  <c r="A2736"/>
  <c r="B2736"/>
  <c r="G2736"/>
  <c r="A2737"/>
  <c r="B2737"/>
  <c r="G2737"/>
  <c r="A2738"/>
  <c r="B2738"/>
  <c r="G2738"/>
  <c r="A2739"/>
  <c r="B2739"/>
  <c r="G2739"/>
  <c r="A2740"/>
  <c r="B2740"/>
  <c r="G2740"/>
  <c r="A2741"/>
  <c r="B2741"/>
  <c r="G2741"/>
  <c r="A2742"/>
  <c r="B2742"/>
  <c r="G2742"/>
  <c r="A2743"/>
  <c r="B2743"/>
  <c r="G2743"/>
  <c r="A2744"/>
  <c r="B2744"/>
  <c r="G2744"/>
  <c r="A2745"/>
  <c r="B2745"/>
  <c r="G2745"/>
  <c r="A2746"/>
  <c r="B2746"/>
  <c r="G2746"/>
  <c r="A2747"/>
  <c r="B2747"/>
  <c r="G2747"/>
  <c r="A2748"/>
  <c r="B2748"/>
  <c r="G2748"/>
  <c r="A2749"/>
  <c r="B2749"/>
  <c r="G2749"/>
  <c r="A2750"/>
  <c r="B2750"/>
  <c r="G2750"/>
  <c r="A2751"/>
  <c r="B2751"/>
  <c r="G2751"/>
  <c r="A2752"/>
  <c r="B2752"/>
  <c r="G2752"/>
  <c r="A2753"/>
  <c r="B2753"/>
  <c r="G2753"/>
  <c r="A2754"/>
  <c r="B2754"/>
  <c r="G2754"/>
  <c r="A2755"/>
  <c r="B2755"/>
  <c r="G2755"/>
  <c r="A2756"/>
  <c r="B2756"/>
  <c r="G2756"/>
  <c r="A2757"/>
  <c r="B2757"/>
  <c r="G2757"/>
  <c r="A2758"/>
  <c r="B2758"/>
  <c r="G2758"/>
  <c r="A2759"/>
  <c r="B2759"/>
  <c r="G2759"/>
  <c r="A2760"/>
  <c r="B2760"/>
  <c r="G2760"/>
  <c r="A2761"/>
  <c r="B2761"/>
  <c r="H2761"/>
  <c r="A2762"/>
  <c r="B2762"/>
  <c r="G2762"/>
  <c r="A2763"/>
  <c r="B2763"/>
  <c r="G2763"/>
  <c r="A2764"/>
  <c r="B2764"/>
  <c r="G2764"/>
  <c r="A2765"/>
  <c r="B2765"/>
  <c r="G2765"/>
  <c r="A2766"/>
  <c r="B2766"/>
  <c r="G2766"/>
  <c r="A2767"/>
  <c r="B2767"/>
  <c r="G2767"/>
  <c r="A2768"/>
  <c r="B2768"/>
  <c r="G2768"/>
  <c r="A2769"/>
  <c r="B2769"/>
  <c r="G2769"/>
  <c r="A2770"/>
  <c r="B2770"/>
  <c r="G2770"/>
  <c r="A2771"/>
  <c r="B2771"/>
  <c r="G2771"/>
  <c r="A2772"/>
  <c r="B2772"/>
  <c r="G2772"/>
  <c r="A2773"/>
  <c r="B2773"/>
  <c r="G2773"/>
  <c r="A2774"/>
  <c r="B2774"/>
  <c r="G2774"/>
  <c r="A2775"/>
  <c r="B2775"/>
  <c r="G2775"/>
  <c r="A2776"/>
  <c r="B2776"/>
  <c r="G2776"/>
  <c r="A2777"/>
  <c r="B2777"/>
  <c r="G2777"/>
  <c r="A2778"/>
  <c r="B2778"/>
  <c r="G2778"/>
  <c r="A2779"/>
  <c r="B2779"/>
  <c r="G2779"/>
  <c r="A2780"/>
  <c r="B2780"/>
  <c r="G2780"/>
  <c r="A2781"/>
  <c r="B2781"/>
  <c r="G2781"/>
  <c r="A2782"/>
  <c r="B2782"/>
  <c r="G2782"/>
  <c r="A2783"/>
  <c r="B2783"/>
  <c r="G2783"/>
  <c r="A2784"/>
  <c r="B2784"/>
  <c r="G2784"/>
  <c r="A2785"/>
  <c r="B2785"/>
  <c r="G2785"/>
  <c r="A2786"/>
  <c r="B2786"/>
  <c r="G2786"/>
  <c r="A2787"/>
  <c r="B2787"/>
  <c r="G2787"/>
  <c r="A2788"/>
  <c r="B2788"/>
  <c r="G2788"/>
  <c r="A2789"/>
  <c r="B2789"/>
  <c r="G2789"/>
  <c r="A2790"/>
  <c r="B2790"/>
  <c r="G2790"/>
  <c r="A2791"/>
  <c r="B2791"/>
  <c r="G2791"/>
  <c r="A2792"/>
  <c r="B2792"/>
  <c r="G2792"/>
  <c r="A2793"/>
  <c r="B2793"/>
  <c r="G2793"/>
  <c r="A2794"/>
  <c r="B2794"/>
  <c r="G2794"/>
  <c r="A2795"/>
  <c r="B2795"/>
  <c r="G2795"/>
  <c r="A2796"/>
  <c r="B2796"/>
  <c r="G2796"/>
  <c r="A2797"/>
  <c r="B2797"/>
  <c r="G2797"/>
  <c r="A2798"/>
  <c r="B2798"/>
  <c r="G2798"/>
  <c r="A2799"/>
  <c r="B2799"/>
  <c r="G2799"/>
  <c r="A2800"/>
  <c r="B2800"/>
  <c r="G2800"/>
  <c r="A2801"/>
  <c r="B2801"/>
  <c r="G2801"/>
  <c r="A2802"/>
  <c r="B2802"/>
  <c r="G2802"/>
  <c r="A2803"/>
  <c r="B2803"/>
  <c r="G2803"/>
  <c r="A2804"/>
  <c r="B2804"/>
  <c r="G2804"/>
  <c r="A2805"/>
  <c r="B2805"/>
  <c r="G2805"/>
  <c r="A2806"/>
  <c r="B2806"/>
  <c r="G2806"/>
  <c r="A2807"/>
  <c r="B2807"/>
  <c r="G2807"/>
  <c r="A2808"/>
  <c r="B2808"/>
  <c r="G2808"/>
  <c r="A2809"/>
  <c r="B2809"/>
  <c r="G2809"/>
  <c r="A2810"/>
  <c r="B2810"/>
  <c r="G2810"/>
  <c r="A2811"/>
  <c r="B2811"/>
  <c r="G2811"/>
  <c r="A2812"/>
  <c r="B2812"/>
  <c r="G2812"/>
  <c r="A2813"/>
  <c r="B2813"/>
  <c r="G2813"/>
  <c r="A2814"/>
  <c r="B2814"/>
  <c r="G2814"/>
  <c r="A2815"/>
  <c r="B2815"/>
  <c r="G2815"/>
  <c r="A2816"/>
  <c r="B2816"/>
  <c r="G2816"/>
  <c r="A2817"/>
  <c r="B2817"/>
  <c r="G2817"/>
  <c r="A2818"/>
  <c r="B2818"/>
  <c r="G2818"/>
  <c r="A2819"/>
  <c r="B2819"/>
  <c r="G2819"/>
  <c r="A2820"/>
  <c r="B2820"/>
  <c r="G2820"/>
  <c r="A2821"/>
  <c r="B2821"/>
  <c r="G2821"/>
  <c r="A2822"/>
  <c r="B2822"/>
  <c r="G2822"/>
  <c r="A2823"/>
  <c r="B2823"/>
  <c r="G2823"/>
  <c r="A2824"/>
  <c r="B2824"/>
  <c r="G2824"/>
  <c r="A2825"/>
  <c r="B2825"/>
  <c r="G2825"/>
  <c r="A2826"/>
  <c r="B2826"/>
  <c r="G2826"/>
  <c r="A2827"/>
  <c r="B2827"/>
  <c r="G2827"/>
  <c r="A2828"/>
  <c r="B2828"/>
  <c r="G2828"/>
  <c r="A2829"/>
  <c r="B2829"/>
  <c r="G2829"/>
  <c r="A2830"/>
  <c r="B2830"/>
  <c r="G2830"/>
  <c r="A2831"/>
  <c r="B2831"/>
  <c r="G2831"/>
  <c r="A2832"/>
  <c r="B2832"/>
  <c r="G2832"/>
  <c r="A2833"/>
  <c r="B2833"/>
  <c r="G2833"/>
  <c r="A2834"/>
  <c r="B2834"/>
  <c r="G2834"/>
  <c r="A2835"/>
  <c r="B2835"/>
  <c r="G2835"/>
  <c r="A2836"/>
  <c r="B2836"/>
  <c r="G2836"/>
  <c r="A2837"/>
  <c r="B2837"/>
  <c r="G2837"/>
  <c r="A2838"/>
  <c r="B2838"/>
  <c r="G2838"/>
  <c r="A2839"/>
  <c r="B2839"/>
  <c r="G2839"/>
  <c r="A2840"/>
  <c r="B2840"/>
  <c r="G2840"/>
  <c r="A2841"/>
  <c r="B2841"/>
  <c r="G2841"/>
  <c r="A2842"/>
  <c r="B2842"/>
  <c r="G2842"/>
  <c r="A2843"/>
  <c r="B2843"/>
  <c r="G2843"/>
  <c r="A2844"/>
  <c r="B2844"/>
  <c r="G2844"/>
  <c r="A2845"/>
  <c r="B2845"/>
  <c r="G2845"/>
  <c r="A2846"/>
  <c r="B2846"/>
  <c r="G2846"/>
  <c r="A2847"/>
  <c r="B2847"/>
  <c r="G2847"/>
  <c r="A2848"/>
  <c r="B2848"/>
  <c r="G2848"/>
  <c r="A2849"/>
  <c r="B2849"/>
  <c r="G2849"/>
  <c r="A2850"/>
  <c r="B2850"/>
  <c r="G2850"/>
  <c r="A2851"/>
  <c r="B2851"/>
  <c r="G2851"/>
  <c r="A2852"/>
  <c r="B2852"/>
  <c r="G2852"/>
  <c r="A2853"/>
  <c r="B2853"/>
  <c r="G2853"/>
  <c r="A2854"/>
  <c r="B2854"/>
  <c r="G2854"/>
  <c r="A2855"/>
  <c r="B2855"/>
  <c r="G2855"/>
  <c r="A2856"/>
  <c r="B2856"/>
  <c r="G2856"/>
  <c r="A2857"/>
  <c r="B2857"/>
  <c r="A2858"/>
  <c r="B2858"/>
  <c r="G2858"/>
  <c r="A2859"/>
  <c r="B2859"/>
  <c r="G2859"/>
  <c r="A2860"/>
  <c r="B2860"/>
  <c r="G2860"/>
  <c r="A2861"/>
  <c r="B2861"/>
  <c r="G2861"/>
  <c r="A2862"/>
  <c r="B2862"/>
  <c r="G2862"/>
  <c r="A2863"/>
  <c r="B2863"/>
  <c r="G2863"/>
  <c r="A2864"/>
  <c r="B2864"/>
  <c r="G2864"/>
  <c r="A2865"/>
  <c r="B2865"/>
  <c r="G2865"/>
  <c r="A2866"/>
  <c r="B2866"/>
  <c r="G2866"/>
  <c r="A2867"/>
  <c r="B2867"/>
  <c r="G2867"/>
  <c r="A2868"/>
  <c r="B2868"/>
  <c r="G2868"/>
  <c r="A2869"/>
  <c r="B2869"/>
  <c r="G2869"/>
  <c r="A2870"/>
  <c r="B2870"/>
  <c r="G2870"/>
  <c r="A2871"/>
  <c r="B2871"/>
  <c r="G2871"/>
  <c r="A2872"/>
  <c r="B2872"/>
  <c r="G2872"/>
  <c r="A2873"/>
  <c r="B2873"/>
  <c r="G2873"/>
  <c r="A2874"/>
  <c r="B2874"/>
  <c r="G2874"/>
  <c r="A2875"/>
  <c r="B2875"/>
  <c r="G2875"/>
  <c r="A2876"/>
  <c r="B2876"/>
  <c r="G2876"/>
  <c r="A2877"/>
  <c r="B2877"/>
  <c r="G2877"/>
  <c r="A2878"/>
  <c r="B2878"/>
  <c r="G2878"/>
  <c r="A2879"/>
  <c r="B2879"/>
  <c r="G2879"/>
  <c r="A2880"/>
  <c r="B2880"/>
  <c r="G2880"/>
  <c r="A2881"/>
  <c r="B2881"/>
  <c r="G2881"/>
  <c r="A2882"/>
  <c r="B2882"/>
  <c r="G2882"/>
  <c r="A2883"/>
  <c r="B2883"/>
  <c r="G2883"/>
  <c r="A2884"/>
  <c r="B2884"/>
  <c r="G2884"/>
  <c r="A2885"/>
  <c r="B2885"/>
  <c r="G2885"/>
  <c r="A2886"/>
  <c r="B2886"/>
  <c r="G2886"/>
  <c r="A2887"/>
  <c r="B2887"/>
  <c r="G2887"/>
  <c r="A2888"/>
  <c r="B2888"/>
  <c r="G2888"/>
  <c r="A2889"/>
  <c r="B2889"/>
  <c r="G2889"/>
  <c r="A2890"/>
  <c r="B2890"/>
  <c r="G2890"/>
  <c r="A2891"/>
  <c r="B2891"/>
  <c r="G2891"/>
  <c r="A2892"/>
  <c r="B2892"/>
  <c r="G2892"/>
  <c r="A2893"/>
  <c r="B2893"/>
  <c r="G2893"/>
  <c r="A2894"/>
  <c r="B2894"/>
  <c r="G2894"/>
  <c r="A2895"/>
  <c r="B2895"/>
  <c r="G2895"/>
  <c r="A2896"/>
  <c r="B2896"/>
  <c r="G2896"/>
  <c r="A2897"/>
  <c r="B2897"/>
  <c r="G2897"/>
  <c r="A2898"/>
  <c r="B2898"/>
  <c r="G2898"/>
  <c r="A2899"/>
  <c r="B2899"/>
  <c r="G2899"/>
  <c r="A2900"/>
  <c r="B2900"/>
  <c r="G2900"/>
  <c r="A2901"/>
  <c r="B2901"/>
  <c r="G2901"/>
  <c r="A2902"/>
  <c r="B2902"/>
  <c r="H2902"/>
  <c r="A2903"/>
  <c r="B2903"/>
  <c r="G2903"/>
  <c r="A2904"/>
  <c r="B2904"/>
  <c r="G2904"/>
  <c r="A2905"/>
  <c r="B2905"/>
  <c r="G2905"/>
  <c r="A2906"/>
  <c r="B2906"/>
  <c r="G2906"/>
  <c r="A2907"/>
  <c r="B2907"/>
  <c r="G2907"/>
  <c r="A2908"/>
  <c r="B2908"/>
  <c r="G2908"/>
  <c r="A2909"/>
  <c r="B2909"/>
  <c r="G2909"/>
  <c r="A2910"/>
  <c r="B2910"/>
  <c r="G2910"/>
  <c r="A2911"/>
  <c r="B2911"/>
  <c r="G2911"/>
  <c r="A2912"/>
  <c r="B2912"/>
  <c r="G2912"/>
  <c r="A2913"/>
  <c r="B2913"/>
  <c r="G2913"/>
  <c r="A2914"/>
  <c r="B2914"/>
  <c r="G2914"/>
  <c r="A2915"/>
  <c r="B2915"/>
  <c r="G2915"/>
  <c r="A2916"/>
  <c r="B2916"/>
  <c r="G2916"/>
  <c r="A2917"/>
  <c r="B2917"/>
  <c r="G2917"/>
  <c r="A2918"/>
  <c r="B2918"/>
  <c r="G2918"/>
  <c r="A2919"/>
  <c r="B2919"/>
  <c r="G2919"/>
  <c r="A2920"/>
  <c r="B2920"/>
  <c r="G2920"/>
  <c r="A2921"/>
  <c r="B2921"/>
  <c r="G2921"/>
  <c r="A2922"/>
  <c r="B2922"/>
  <c r="G2922"/>
  <c r="A2923"/>
  <c r="B2923"/>
  <c r="G2923"/>
  <c r="A2924"/>
  <c r="B2924"/>
  <c r="G2924"/>
  <c r="A2925"/>
  <c r="B2925"/>
  <c r="G2925"/>
  <c r="A2926"/>
  <c r="B2926"/>
  <c r="G2926"/>
  <c r="A2927"/>
  <c r="B2927"/>
  <c r="G2927"/>
  <c r="A2928"/>
  <c r="B2928"/>
  <c r="G2928"/>
  <c r="A2929"/>
  <c r="B2929"/>
  <c r="G2929"/>
  <c r="A2930"/>
  <c r="B2930"/>
  <c r="G2930"/>
  <c r="A2931"/>
  <c r="B2931"/>
  <c r="G2931"/>
  <c r="A2932"/>
  <c r="B2932"/>
  <c r="G2932"/>
  <c r="A2933"/>
  <c r="B2933"/>
  <c r="G2933"/>
  <c r="A2934"/>
  <c r="B2934"/>
  <c r="G2934"/>
  <c r="A2935"/>
  <c r="B2935"/>
  <c r="G2935"/>
  <c r="A2936"/>
  <c r="B2936"/>
  <c r="G2936"/>
  <c r="A2937"/>
  <c r="B2937"/>
  <c r="G2937"/>
  <c r="A2938"/>
  <c r="B2938"/>
  <c r="G2938"/>
  <c r="A2939"/>
  <c r="B2939"/>
  <c r="G2939"/>
  <c r="A2940"/>
  <c r="B2940"/>
  <c r="G2940"/>
  <c r="A2941"/>
  <c r="B2941"/>
  <c r="G2941"/>
  <c r="A2942"/>
  <c r="B2942"/>
  <c r="G2942"/>
  <c r="A2943"/>
  <c r="B2943"/>
  <c r="G2943"/>
  <c r="A2944"/>
  <c r="B2944"/>
  <c r="G2944"/>
  <c r="A2945"/>
  <c r="B2945"/>
  <c r="G2945"/>
  <c r="A2946"/>
  <c r="B2946"/>
  <c r="G2946"/>
  <c r="A2947"/>
  <c r="B2947"/>
  <c r="G2947"/>
  <c r="A2948"/>
  <c r="B2948"/>
  <c r="G2948"/>
  <c r="A2949"/>
  <c r="B2949"/>
  <c r="G2949"/>
  <c r="A2950"/>
  <c r="B2950"/>
  <c r="G2950"/>
  <c r="A2951"/>
  <c r="B2951"/>
  <c r="G2951"/>
  <c r="A2952"/>
  <c r="B2952"/>
  <c r="G2952"/>
  <c r="A2953"/>
  <c r="B2953"/>
  <c r="G2953"/>
  <c r="A2954"/>
  <c r="B2954"/>
  <c r="G2954"/>
  <c r="A2955"/>
  <c r="B2955"/>
  <c r="G2955"/>
  <c r="A2956"/>
  <c r="B2956"/>
  <c r="G2956"/>
  <c r="A2957"/>
  <c r="B2957"/>
  <c r="G2957"/>
  <c r="A2958"/>
  <c r="B2958"/>
  <c r="G2958"/>
  <c r="A2959"/>
  <c r="B2959"/>
  <c r="G2959"/>
  <c r="A2960"/>
  <c r="B2960"/>
  <c r="G2960"/>
  <c r="A2961"/>
  <c r="B2961"/>
  <c r="G2961"/>
  <c r="A2962"/>
  <c r="B2962"/>
  <c r="G2962"/>
  <c r="A2963"/>
  <c r="B2963"/>
  <c r="G2963"/>
  <c r="A2964"/>
  <c r="B2964"/>
  <c r="G2964"/>
  <c r="A2965"/>
  <c r="B2965"/>
  <c r="G2965"/>
  <c r="A2966"/>
  <c r="B2966"/>
  <c r="G2966"/>
  <c r="A2967"/>
  <c r="B2967"/>
  <c r="G2967"/>
  <c r="A2968"/>
  <c r="B2968"/>
  <c r="G2968"/>
  <c r="A2969"/>
  <c r="B2969"/>
  <c r="G2969"/>
  <c r="A2970"/>
  <c r="B2970"/>
  <c r="G2970"/>
  <c r="A2971"/>
  <c r="B2971"/>
  <c r="G2971"/>
  <c r="A2972"/>
  <c r="B2972"/>
  <c r="G2972"/>
  <c r="A2973"/>
  <c r="B2973"/>
  <c r="G2973"/>
  <c r="A2974"/>
  <c r="B2974"/>
  <c r="G2974"/>
  <c r="A2975"/>
  <c r="B2975"/>
  <c r="G2975"/>
  <c r="A2976"/>
  <c r="B2976"/>
  <c r="G2976"/>
  <c r="A2977"/>
  <c r="B2977"/>
  <c r="G2977"/>
  <c r="A2978"/>
  <c r="B2978"/>
  <c r="G2978"/>
  <c r="A2979"/>
  <c r="B2979"/>
  <c r="G2979"/>
  <c r="A2980"/>
  <c r="B2980"/>
  <c r="G2980"/>
  <c r="A2981"/>
  <c r="B2981"/>
  <c r="G2981"/>
  <c r="A2982"/>
  <c r="B2982"/>
  <c r="G2982"/>
  <c r="A2983"/>
  <c r="B2983"/>
  <c r="G2983"/>
  <c r="A2984"/>
  <c r="B2984"/>
  <c r="G2984"/>
  <c r="A2985"/>
  <c r="B2985"/>
  <c r="G2985"/>
  <c r="A2986"/>
  <c r="B2986"/>
  <c r="G2986"/>
  <c r="A2987"/>
  <c r="B2987"/>
  <c r="G2987"/>
  <c r="A2988"/>
  <c r="B2988"/>
  <c r="G2988"/>
  <c r="A2989"/>
  <c r="B2989"/>
  <c r="G2989"/>
  <c r="A2990"/>
  <c r="B2990"/>
  <c r="G2990"/>
  <c r="A2991"/>
  <c r="B2991"/>
  <c r="G2991"/>
  <c r="A2992"/>
  <c r="B2992"/>
  <c r="G2992"/>
  <c r="A2993"/>
  <c r="B2993"/>
  <c r="G2993"/>
  <c r="A2994"/>
  <c r="B2994"/>
  <c r="G2994"/>
  <c r="A2995"/>
  <c r="B2995"/>
  <c r="G2995"/>
  <c r="A2996"/>
  <c r="B2996"/>
  <c r="G2996"/>
  <c r="A2997"/>
  <c r="B2997"/>
  <c r="G2997"/>
  <c r="A2998"/>
  <c r="B2998"/>
  <c r="G2998"/>
  <c r="A2999"/>
  <c r="B2999"/>
  <c r="G2999"/>
  <c r="A3000"/>
  <c r="B3000"/>
  <c r="G3000"/>
  <c r="A3001"/>
  <c r="B3001"/>
  <c r="G3001"/>
  <c r="A3002"/>
  <c r="B3002"/>
  <c r="G3002"/>
  <c r="A3003"/>
  <c r="B3003"/>
  <c r="G3003"/>
  <c r="A3004"/>
  <c r="B3004"/>
  <c r="G3004"/>
  <c r="A3005"/>
  <c r="B3005"/>
  <c r="G3005"/>
  <c r="A3006"/>
  <c r="B3006"/>
  <c r="G3006"/>
  <c r="A3007"/>
  <c r="B3007"/>
  <c r="G3007"/>
  <c r="A3008"/>
  <c r="B3008"/>
  <c r="G3008"/>
  <c r="A3009"/>
  <c r="B3009"/>
  <c r="G3009"/>
  <c r="A3010"/>
  <c r="B3010"/>
  <c r="G3010"/>
  <c r="A3011"/>
  <c r="B3011"/>
  <c r="G3011"/>
  <c r="A3012"/>
  <c r="B3012"/>
  <c r="G3012"/>
  <c r="A3013"/>
  <c r="B3013"/>
  <c r="G3013"/>
  <c r="A3014"/>
  <c r="B3014"/>
  <c r="G3014"/>
  <c r="A3015"/>
  <c r="B3015"/>
  <c r="G3015"/>
  <c r="A3016"/>
  <c r="B3016"/>
  <c r="G3016"/>
  <c r="A3017"/>
  <c r="B3017"/>
  <c r="G3017"/>
  <c r="A3018"/>
  <c r="B3018"/>
  <c r="G3018"/>
  <c r="A3019"/>
  <c r="B3019"/>
  <c r="G3019"/>
  <c r="A3020"/>
  <c r="B3020"/>
  <c r="G3020"/>
  <c r="A3021"/>
  <c r="B3021"/>
  <c r="G3021"/>
  <c r="A3022"/>
  <c r="B3022"/>
  <c r="G3022"/>
  <c r="A3023"/>
  <c r="B3023"/>
  <c r="G3023"/>
  <c r="A3024"/>
  <c r="B3024"/>
  <c r="G3024"/>
  <c r="A3025"/>
  <c r="B3025"/>
  <c r="G3025"/>
  <c r="A3026"/>
  <c r="B3026"/>
  <c r="G3026"/>
  <c r="A3027"/>
  <c r="B3027"/>
  <c r="G3027"/>
  <c r="A3028"/>
  <c r="B3028"/>
  <c r="H3028"/>
  <c r="A3029"/>
  <c r="B3029"/>
  <c r="G3029"/>
  <c r="A3030"/>
  <c r="B3030"/>
  <c r="G3030"/>
  <c r="A3031"/>
  <c r="B3031"/>
  <c r="G3031"/>
  <c r="A3032"/>
  <c r="B3032"/>
  <c r="G3032"/>
  <c r="A3033"/>
  <c r="B3033"/>
  <c r="G3033"/>
  <c r="A3034"/>
  <c r="B3034"/>
  <c r="G3034"/>
  <c r="A3035"/>
  <c r="B3035"/>
  <c r="G3035"/>
  <c r="A3036"/>
  <c r="B3036"/>
  <c r="G3036"/>
  <c r="A3037"/>
  <c r="B3037"/>
  <c r="G3037"/>
  <c r="A3038"/>
  <c r="B3038"/>
  <c r="G3038"/>
  <c r="A3039"/>
  <c r="B3039"/>
  <c r="G3039"/>
  <c r="A3040"/>
  <c r="B3040"/>
  <c r="G3040"/>
  <c r="A3041"/>
  <c r="B3041"/>
  <c r="G3041"/>
  <c r="A3042"/>
  <c r="B3042"/>
  <c r="G3042"/>
  <c r="A3043"/>
  <c r="B3043"/>
  <c r="G3043"/>
  <c r="A3044"/>
  <c r="B3044"/>
  <c r="G3044"/>
  <c r="A3045"/>
  <c r="B3045"/>
  <c r="G3045"/>
  <c r="A3046"/>
  <c r="B3046"/>
  <c r="G3046"/>
  <c r="A3047"/>
  <c r="B3047"/>
  <c r="G3047"/>
  <c r="A3048"/>
  <c r="B3048"/>
  <c r="G3048"/>
  <c r="A3049"/>
  <c r="B3049"/>
  <c r="G3049"/>
  <c r="A3050"/>
  <c r="B3050"/>
  <c r="G3050"/>
  <c r="A3051"/>
  <c r="B3051"/>
  <c r="G3051"/>
  <c r="A3052"/>
  <c r="B3052"/>
  <c r="G3052"/>
  <c r="A3053"/>
  <c r="B3053"/>
  <c r="G3053"/>
  <c r="A3054"/>
  <c r="B3054"/>
  <c r="G3054"/>
  <c r="A3055"/>
  <c r="B3055"/>
  <c r="G3055"/>
  <c r="A3056"/>
  <c r="B3056"/>
  <c r="G3056"/>
  <c r="A3057"/>
  <c r="B3057"/>
  <c r="G3057"/>
  <c r="A3058"/>
  <c r="B3058"/>
  <c r="G3058"/>
  <c r="A3059"/>
  <c r="B3059"/>
  <c r="G3059"/>
  <c r="A3060"/>
  <c r="B3060"/>
  <c r="G3060"/>
  <c r="A3061"/>
  <c r="B3061"/>
  <c r="G3061"/>
  <c r="A3062"/>
  <c r="B3062"/>
  <c r="G3062"/>
  <c r="A3063"/>
  <c r="B3063"/>
  <c r="G3063"/>
  <c r="A3064"/>
  <c r="B3064"/>
  <c r="G3064"/>
  <c r="A3065"/>
  <c r="B3065"/>
  <c r="G3065"/>
  <c r="A3066"/>
  <c r="B3066"/>
  <c r="G3066"/>
  <c r="A3067"/>
  <c r="B3067"/>
  <c r="G3067"/>
  <c r="A3068"/>
  <c r="B3068"/>
  <c r="G3068"/>
  <c r="A3069"/>
  <c r="B3069"/>
  <c r="H3069"/>
  <c r="A3070"/>
  <c r="B3070"/>
  <c r="G3070"/>
  <c r="A3071"/>
  <c r="B3071"/>
  <c r="G3071"/>
  <c r="A3072"/>
  <c r="B3072"/>
  <c r="G3072"/>
  <c r="A3073"/>
  <c r="B3073"/>
  <c r="G3073"/>
  <c r="A3074"/>
  <c r="B3074"/>
  <c r="G3074"/>
  <c r="A3075"/>
  <c r="B3075"/>
  <c r="G3075"/>
  <c r="A3076"/>
  <c r="B3076"/>
  <c r="H3076"/>
  <c r="A3077"/>
  <c r="B3077"/>
  <c r="G3077"/>
  <c r="A3078"/>
  <c r="B3078"/>
  <c r="G3078"/>
  <c r="A3079"/>
  <c r="B3079"/>
  <c r="G3079"/>
  <c r="A3080"/>
  <c r="B3080"/>
  <c r="G3080"/>
  <c r="A3081"/>
  <c r="B3081"/>
  <c r="G3081"/>
  <c r="A3082"/>
  <c r="B3082"/>
  <c r="G3082"/>
  <c r="A3083"/>
  <c r="B3083"/>
  <c r="G3083"/>
  <c r="A3084"/>
  <c r="B3084"/>
  <c r="G3084"/>
  <c r="A3085"/>
  <c r="B3085"/>
  <c r="G3085"/>
  <c r="A3086"/>
  <c r="B3086"/>
  <c r="G3086"/>
  <c r="A3087"/>
  <c r="B3087"/>
  <c r="G3087"/>
  <c r="A3088"/>
  <c r="B3088"/>
  <c r="G3088"/>
  <c r="A3089"/>
  <c r="B3089"/>
  <c r="G3089"/>
  <c r="A3090"/>
  <c r="B3090"/>
  <c r="G3090"/>
  <c r="A3091"/>
  <c r="B3091"/>
  <c r="G3091"/>
  <c r="A3092"/>
  <c r="B3092"/>
  <c r="G3092"/>
  <c r="A3093"/>
  <c r="B3093"/>
  <c r="G3093"/>
  <c r="A3094"/>
  <c r="B3094"/>
  <c r="G3094"/>
  <c r="A3095"/>
  <c r="B3095"/>
  <c r="G3095"/>
  <c r="A3096"/>
  <c r="B3096"/>
  <c r="G3096"/>
  <c r="A3097"/>
  <c r="B3097"/>
  <c r="G3097"/>
  <c r="A3098"/>
  <c r="B3098"/>
  <c r="G3098"/>
  <c r="A3099"/>
  <c r="B3099"/>
  <c r="G3099"/>
  <c r="A3100"/>
  <c r="B3100"/>
  <c r="G3100"/>
  <c r="A3101"/>
  <c r="B3101"/>
  <c r="G3101"/>
  <c r="A3102"/>
  <c r="B3102"/>
  <c r="G3102"/>
  <c r="A3103"/>
  <c r="B3103"/>
  <c r="G3103"/>
  <c r="A3104"/>
  <c r="B3104"/>
  <c r="G3104"/>
  <c r="A3105"/>
  <c r="B3105"/>
  <c r="G3105"/>
  <c r="A3106"/>
  <c r="B3106"/>
  <c r="G3106"/>
  <c r="A3107"/>
  <c r="B3107"/>
  <c r="G3107"/>
  <c r="A3108"/>
  <c r="B3108"/>
  <c r="G3108"/>
  <c r="A3109"/>
  <c r="B3109"/>
  <c r="G3109"/>
  <c r="A3110"/>
  <c r="B3110"/>
  <c r="G3110"/>
  <c r="A3111"/>
  <c r="B3111"/>
  <c r="G3111"/>
  <c r="A3112"/>
  <c r="B3112"/>
  <c r="G3112"/>
  <c r="A3113"/>
  <c r="B3113"/>
  <c r="G3113"/>
  <c r="A3114"/>
  <c r="B3114"/>
  <c r="G3114"/>
  <c r="A3115"/>
  <c r="B3115"/>
  <c r="G3115"/>
  <c r="A3116"/>
  <c r="B3116"/>
  <c r="G3116"/>
  <c r="A3117"/>
  <c r="B3117"/>
  <c r="G3117"/>
  <c r="A3118"/>
  <c r="B3118"/>
  <c r="G3118"/>
  <c r="A3119"/>
  <c r="B3119"/>
  <c r="G3119"/>
  <c r="A3120"/>
  <c r="B3120"/>
  <c r="G3120"/>
  <c r="A3121"/>
  <c r="B3121"/>
  <c r="H3121"/>
  <c r="A3122"/>
  <c r="B3122"/>
  <c r="G3122"/>
  <c r="A3123"/>
  <c r="B3123"/>
  <c r="G3123"/>
  <c r="A3124"/>
  <c r="B3124"/>
  <c r="G3124"/>
  <c r="A3125"/>
  <c r="B3125"/>
  <c r="G3125"/>
  <c r="A3126"/>
  <c r="B3126"/>
  <c r="G3126"/>
  <c r="A3127"/>
  <c r="B3127"/>
  <c r="G3127"/>
  <c r="A3128"/>
  <c r="B3128"/>
  <c r="H3128"/>
  <c r="A3129"/>
  <c r="B3129"/>
  <c r="G3129"/>
  <c r="A3130"/>
  <c r="B3130"/>
  <c r="G3130"/>
  <c r="A3131"/>
  <c r="B3131"/>
  <c r="G3131"/>
  <c r="A3132"/>
  <c r="B3132"/>
  <c r="G3132"/>
  <c r="A3133"/>
  <c r="B3133"/>
  <c r="G3133"/>
  <c r="A3134"/>
  <c r="B3134"/>
  <c r="G3134"/>
  <c r="A3135"/>
  <c r="B3135"/>
  <c r="G3135"/>
  <c r="A3136"/>
  <c r="B3136"/>
  <c r="G3136"/>
  <c r="A3137"/>
  <c r="B3137"/>
  <c r="G3137"/>
  <c r="A3138"/>
  <c r="B3138"/>
  <c r="G3138"/>
  <c r="A3139"/>
  <c r="B3139"/>
  <c r="G3139"/>
  <c r="A3140"/>
  <c r="B3140"/>
  <c r="G3140"/>
  <c r="A3141"/>
  <c r="B3141"/>
  <c r="G3141"/>
  <c r="A3142"/>
  <c r="B3142"/>
  <c r="G3142"/>
  <c r="A3143"/>
  <c r="B3143"/>
  <c r="G3143"/>
  <c r="A3144"/>
  <c r="B3144"/>
  <c r="G3144"/>
  <c r="A3145"/>
  <c r="B3145"/>
  <c r="G3145"/>
  <c r="A3146"/>
  <c r="B3146"/>
  <c r="G3146"/>
  <c r="A3147"/>
  <c r="B3147"/>
  <c r="G3147"/>
  <c r="A3148"/>
  <c r="B3148"/>
  <c r="G3148"/>
  <c r="A3149"/>
  <c r="B3149"/>
  <c r="G3149"/>
  <c r="A3150"/>
  <c r="B3150"/>
  <c r="G3150"/>
  <c r="A3151"/>
  <c r="B3151"/>
  <c r="G3151"/>
  <c r="A3152"/>
  <c r="B3152"/>
  <c r="G3152"/>
  <c r="A3153"/>
  <c r="B3153"/>
  <c r="G3153"/>
  <c r="A3154"/>
  <c r="B3154"/>
  <c r="G3154"/>
  <c r="A3155"/>
  <c r="B3155"/>
  <c r="G3155"/>
  <c r="A3156"/>
  <c r="B3156"/>
  <c r="G3156"/>
  <c r="A3157"/>
  <c r="B3157"/>
  <c r="G3157"/>
  <c r="A3158"/>
  <c r="B3158"/>
  <c r="G3158"/>
  <c r="A3159"/>
  <c r="B3159"/>
  <c r="G3159"/>
  <c r="A3160"/>
  <c r="B3160"/>
  <c r="G3160"/>
  <c r="A3161"/>
  <c r="B3161"/>
  <c r="G3161"/>
  <c r="A3162"/>
  <c r="B3162"/>
  <c r="G3162"/>
  <c r="A3163"/>
  <c r="B3163"/>
  <c r="G3163"/>
  <c r="A3164"/>
  <c r="B3164"/>
  <c r="G3164"/>
  <c r="A3165"/>
  <c r="B3165"/>
  <c r="G3165"/>
  <c r="A3166"/>
  <c r="B3166"/>
  <c r="G3166"/>
  <c r="A3167"/>
  <c r="B3167"/>
  <c r="G3167"/>
  <c r="A3168"/>
  <c r="B3168"/>
  <c r="G3168"/>
  <c r="A3169"/>
  <c r="B3169"/>
  <c r="G3169"/>
  <c r="A3170"/>
  <c r="B3170"/>
  <c r="G3170"/>
  <c r="A3171"/>
  <c r="B3171"/>
  <c r="G3171"/>
  <c r="A3172"/>
  <c r="B3172"/>
  <c r="G3172"/>
  <c r="A3173"/>
  <c r="B3173"/>
  <c r="G3173"/>
  <c r="A3174"/>
  <c r="B3174"/>
  <c r="G3174"/>
  <c r="A3175"/>
  <c r="B3175"/>
  <c r="G3175"/>
  <c r="A3176"/>
  <c r="B3176"/>
  <c r="G3176"/>
  <c r="A3177"/>
  <c r="B3177"/>
  <c r="G3177"/>
  <c r="A3178"/>
  <c r="B3178"/>
  <c r="G3178"/>
  <c r="A3179"/>
  <c r="B3179"/>
  <c r="G3179"/>
  <c r="A3180"/>
  <c r="B3180"/>
  <c r="G3180"/>
  <c r="A3181"/>
  <c r="B3181"/>
  <c r="G3181"/>
  <c r="A3182"/>
  <c r="B3182"/>
  <c r="G3182"/>
  <c r="A3183"/>
  <c r="B3183"/>
  <c r="G3183"/>
  <c r="A3184"/>
  <c r="B3184"/>
  <c r="G3184"/>
  <c r="A3185"/>
  <c r="B3185"/>
  <c r="G3185"/>
  <c r="A3186"/>
  <c r="B3186"/>
  <c r="G3186"/>
  <c r="A3187"/>
  <c r="B3187"/>
  <c r="G3187"/>
  <c r="A3188"/>
  <c r="B3188"/>
  <c r="G3188"/>
  <c r="A3189"/>
  <c r="B3189"/>
  <c r="G3189"/>
  <c r="A3190"/>
  <c r="B3190"/>
  <c r="G3190"/>
  <c r="A3191"/>
  <c r="B3191"/>
  <c r="G3191"/>
  <c r="A3192"/>
  <c r="B3192"/>
  <c r="G3192"/>
  <c r="A3193"/>
  <c r="B3193"/>
  <c r="G3193"/>
  <c r="A3194"/>
  <c r="B3194"/>
  <c r="G3194"/>
  <c r="A3195"/>
  <c r="B3195"/>
  <c r="H3195"/>
  <c r="A3196"/>
  <c r="B3196"/>
  <c r="G3196"/>
  <c r="A3197"/>
  <c r="B3197"/>
  <c r="G3197"/>
  <c r="A3198"/>
  <c r="B3198"/>
  <c r="G3198"/>
  <c r="A3199"/>
  <c r="B3199"/>
  <c r="G3199"/>
  <c r="A3200"/>
  <c r="B3200"/>
  <c r="G3200"/>
  <c r="A3201"/>
  <c r="B3201"/>
  <c r="G3201"/>
  <c r="A3202"/>
  <c r="B3202"/>
  <c r="G3202"/>
  <c r="A3203"/>
  <c r="B3203"/>
  <c r="G3203"/>
  <c r="A3204"/>
  <c r="B3204"/>
  <c r="G3204"/>
  <c r="A3205"/>
  <c r="B3205"/>
  <c r="G3205"/>
  <c r="A3206"/>
  <c r="B3206"/>
  <c r="G3206"/>
  <c r="A3207"/>
  <c r="B3207"/>
  <c r="G3207"/>
  <c r="A3208"/>
  <c r="B3208"/>
  <c r="G3208"/>
  <c r="A3209"/>
  <c r="B3209"/>
  <c r="G3209"/>
  <c r="A3210"/>
  <c r="B3210"/>
  <c r="G3210"/>
  <c r="A3211"/>
  <c r="B3211"/>
  <c r="G3211"/>
  <c r="A3212"/>
  <c r="B3212"/>
  <c r="G3212"/>
  <c r="A3213"/>
  <c r="B3213"/>
  <c r="G3213"/>
  <c r="A3214"/>
  <c r="B3214"/>
  <c r="G3214"/>
  <c r="A3215"/>
  <c r="B3215"/>
  <c r="G3215"/>
  <c r="A3216"/>
  <c r="B3216"/>
  <c r="G3216"/>
  <c r="A3217"/>
  <c r="B3217"/>
  <c r="G3217"/>
  <c r="A3218"/>
  <c r="B3218"/>
  <c r="G3218"/>
  <c r="A3219"/>
  <c r="B3219"/>
  <c r="G3219"/>
  <c r="A3220"/>
  <c r="B3220"/>
  <c r="G3220"/>
  <c r="A3221"/>
  <c r="B3221"/>
  <c r="G3221"/>
  <c r="A3222"/>
  <c r="B3222"/>
  <c r="G3222"/>
  <c r="A3223"/>
  <c r="B3223"/>
  <c r="G3223"/>
  <c r="A3224"/>
  <c r="B3224"/>
  <c r="G3224"/>
  <c r="A3225"/>
  <c r="B3225"/>
  <c r="G3225"/>
  <c r="A3226"/>
  <c r="B3226"/>
  <c r="G3226"/>
  <c r="A3227"/>
  <c r="B3227"/>
  <c r="G3227"/>
  <c r="A3228"/>
  <c r="B3228"/>
  <c r="G3228"/>
  <c r="A3229"/>
  <c r="B3229"/>
  <c r="G3229"/>
  <c r="A3230"/>
  <c r="B3230"/>
  <c r="G3230"/>
  <c r="A3231"/>
  <c r="B3231"/>
  <c r="G3231"/>
  <c r="A3232"/>
  <c r="B3232"/>
  <c r="G3232"/>
  <c r="A3233"/>
  <c r="B3233"/>
  <c r="G3233"/>
  <c r="A3234"/>
  <c r="B3234"/>
  <c r="G3234"/>
  <c r="A3235"/>
  <c r="B3235"/>
  <c r="G3235"/>
  <c r="A3236"/>
  <c r="B3236"/>
  <c r="G3236"/>
  <c r="A3237"/>
  <c r="B3237"/>
  <c r="G3237"/>
  <c r="A3238"/>
  <c r="B3238"/>
  <c r="G3238"/>
  <c r="A3239"/>
  <c r="B3239"/>
  <c r="G3239"/>
  <c r="A3240"/>
  <c r="B3240"/>
  <c r="G3240"/>
  <c r="A3241"/>
  <c r="B3241"/>
  <c r="G3241"/>
  <c r="A3242"/>
  <c r="B3242"/>
  <c r="G3242"/>
  <c r="A3243"/>
  <c r="B3243"/>
  <c r="G3243"/>
  <c r="A3244"/>
  <c r="B3244"/>
  <c r="G3244"/>
  <c r="A3245"/>
  <c r="B3245"/>
  <c r="G3245"/>
  <c r="A3246"/>
  <c r="B3246"/>
  <c r="G3246"/>
  <c r="A3247"/>
  <c r="B3247"/>
  <c r="G3247"/>
  <c r="A3248"/>
  <c r="B3248"/>
  <c r="G3248"/>
  <c r="A3249"/>
  <c r="B3249"/>
  <c r="G3249"/>
  <c r="A3250"/>
  <c r="B3250"/>
  <c r="G3250"/>
  <c r="A3251"/>
  <c r="B3251"/>
  <c r="G3251"/>
  <c r="A3252"/>
  <c r="B3252"/>
  <c r="G3252"/>
  <c r="A3253"/>
  <c r="B3253"/>
  <c r="G3253"/>
  <c r="A3254"/>
  <c r="B3254"/>
  <c r="G3254"/>
  <c r="A3255"/>
  <c r="B3255"/>
  <c r="G3255"/>
  <c r="A3256"/>
  <c r="B3256"/>
  <c r="G3256"/>
  <c r="A3257"/>
  <c r="B3257"/>
  <c r="G3257"/>
  <c r="A3258"/>
  <c r="B3258"/>
  <c r="G3258"/>
  <c r="A3259"/>
  <c r="B3259"/>
  <c r="G3259"/>
  <c r="A3260"/>
  <c r="B3260"/>
  <c r="G3260"/>
  <c r="A3261"/>
  <c r="B3261"/>
  <c r="G3261"/>
  <c r="A3262"/>
  <c r="B3262"/>
  <c r="G3262"/>
  <c r="A3263"/>
  <c r="B3263"/>
  <c r="G3263"/>
  <c r="A3264"/>
  <c r="B3264"/>
  <c r="G3264"/>
  <c r="A3265"/>
  <c r="B3265"/>
  <c r="G3265"/>
  <c r="A3266"/>
  <c r="B3266"/>
  <c r="G3266"/>
  <c r="A3267"/>
  <c r="B3267"/>
  <c r="H3267"/>
  <c r="A3268"/>
  <c r="B3268"/>
  <c r="G3268"/>
  <c r="A3269"/>
  <c r="B3269"/>
  <c r="G3269"/>
  <c r="A3270"/>
  <c r="B3270"/>
  <c r="G3270"/>
  <c r="A3271"/>
  <c r="B3271"/>
  <c r="G3271"/>
  <c r="A3272"/>
  <c r="B3272"/>
  <c r="G3272"/>
  <c r="A3273"/>
  <c r="B3273"/>
  <c r="G3273"/>
  <c r="A3274"/>
  <c r="B3274"/>
  <c r="G3274"/>
  <c r="A3275"/>
  <c r="B3275"/>
  <c r="G3275"/>
  <c r="A3276"/>
  <c r="B3276"/>
  <c r="G3276"/>
  <c r="A3277"/>
  <c r="B3277"/>
  <c r="G3277"/>
  <c r="A3278"/>
  <c r="B3278"/>
  <c r="G3278"/>
  <c r="A3279"/>
  <c r="B3279"/>
  <c r="G3279"/>
  <c r="A3280"/>
  <c r="B3280"/>
  <c r="G3280"/>
  <c r="A3281"/>
  <c r="B3281"/>
  <c r="G3281"/>
  <c r="A3282"/>
  <c r="B3282"/>
  <c r="G3282"/>
  <c r="A3283"/>
  <c r="B3283"/>
  <c r="G3283"/>
  <c r="A3284"/>
  <c r="B3284"/>
  <c r="G3284"/>
  <c r="A3285"/>
  <c r="B3285"/>
  <c r="G3285"/>
  <c r="A3286"/>
  <c r="B3286"/>
  <c r="G3286"/>
  <c r="A3287"/>
  <c r="B3287"/>
  <c r="G3287"/>
  <c r="A3288"/>
  <c r="B3288"/>
  <c r="G3288"/>
  <c r="A3289"/>
  <c r="B3289"/>
  <c r="G3289"/>
  <c r="A3290"/>
  <c r="B3290"/>
  <c r="G3290"/>
  <c r="A3291"/>
  <c r="B3291"/>
  <c r="G3291"/>
  <c r="A3292"/>
  <c r="B3292"/>
  <c r="G3292"/>
  <c r="A3293"/>
  <c r="B3293"/>
  <c r="G3293"/>
  <c r="A3294"/>
  <c r="B3294"/>
  <c r="G3294"/>
  <c r="A3295"/>
  <c r="B3295"/>
  <c r="G3295"/>
  <c r="A3296"/>
  <c r="B3296"/>
  <c r="G3296"/>
  <c r="A3297"/>
  <c r="B3297"/>
  <c r="G3297"/>
  <c r="A3298"/>
  <c r="B3298"/>
  <c r="G3298"/>
  <c r="A3299"/>
  <c r="B3299"/>
  <c r="G3299"/>
  <c r="A3300"/>
  <c r="B3300"/>
  <c r="G3300"/>
  <c r="A3301"/>
  <c r="B3301"/>
  <c r="G3301"/>
  <c r="A3302"/>
  <c r="B3302"/>
  <c r="G3302"/>
  <c r="A3303"/>
  <c r="B3303"/>
  <c r="G3303"/>
  <c r="A3304"/>
  <c r="B3304"/>
  <c r="G3304"/>
  <c r="A3305"/>
  <c r="B3305"/>
  <c r="G3305"/>
  <c r="A3306"/>
  <c r="B3306"/>
  <c r="G3306"/>
  <c r="A3307"/>
  <c r="B3307"/>
  <c r="G3307"/>
  <c r="A3308"/>
  <c r="B3308"/>
  <c r="G3308"/>
  <c r="A3309"/>
  <c r="B3309"/>
  <c r="G3309"/>
  <c r="A3310"/>
  <c r="B3310"/>
  <c r="G3310"/>
  <c r="A3311"/>
  <c r="B3311"/>
  <c r="G3311"/>
  <c r="A3312"/>
  <c r="B3312"/>
  <c r="G3312"/>
  <c r="A3313"/>
  <c r="B3313"/>
  <c r="G3313"/>
  <c r="A3314"/>
  <c r="B3314"/>
  <c r="G3314"/>
  <c r="A3315"/>
  <c r="B3315"/>
  <c r="G3315"/>
  <c r="A3316"/>
  <c r="B3316"/>
  <c r="G3316"/>
  <c r="A3317"/>
  <c r="B3317"/>
  <c r="G3317"/>
  <c r="A3318"/>
  <c r="B3318"/>
  <c r="G3318"/>
  <c r="A3319"/>
  <c r="B3319"/>
  <c r="G3319"/>
  <c r="A3320"/>
  <c r="B3320"/>
  <c r="G3320"/>
  <c r="A3321"/>
  <c r="B3321"/>
  <c r="G3321"/>
  <c r="A3322"/>
  <c r="B3322"/>
  <c r="G3322"/>
  <c r="A3323"/>
  <c r="B3323"/>
  <c r="G3323"/>
  <c r="A3324"/>
  <c r="B3324"/>
  <c r="G3324"/>
  <c r="A3325"/>
  <c r="B3325"/>
  <c r="G3325"/>
  <c r="A3326"/>
  <c r="B3326"/>
  <c r="G3326"/>
  <c r="A3327"/>
  <c r="B3327"/>
  <c r="G3327"/>
  <c r="A3328"/>
  <c r="B3328"/>
  <c r="G3328"/>
  <c r="A3329"/>
  <c r="B3329"/>
  <c r="G3329"/>
  <c r="A3330"/>
  <c r="B3330"/>
  <c r="A3331"/>
  <c r="B3331"/>
  <c r="G3331"/>
  <c r="A3332"/>
  <c r="B3332"/>
  <c r="G3332"/>
  <c r="A3333"/>
  <c r="B3333"/>
  <c r="G3333"/>
  <c r="A3334"/>
  <c r="B3334"/>
  <c r="G3334"/>
  <c r="A3335"/>
  <c r="B3335"/>
  <c r="G3335"/>
  <c r="A3336"/>
  <c r="B3336"/>
  <c r="G3336"/>
  <c r="A3337"/>
  <c r="B3337"/>
  <c r="G3337"/>
  <c r="A3338"/>
  <c r="B3338"/>
  <c r="A3339"/>
  <c r="B3339"/>
  <c r="G3339"/>
  <c r="A3340"/>
  <c r="B3340"/>
  <c r="G3340"/>
  <c r="A3341"/>
  <c r="B3341"/>
  <c r="G3341"/>
  <c r="A3342"/>
  <c r="B3342"/>
  <c r="G3342"/>
  <c r="A3343"/>
  <c r="B3343"/>
  <c r="G3343"/>
  <c r="A3344"/>
  <c r="B3344"/>
  <c r="G3344"/>
  <c r="A3345"/>
  <c r="B3345"/>
  <c r="G3345"/>
  <c r="A3346"/>
  <c r="B3346"/>
  <c r="G3346"/>
  <c r="A3347"/>
  <c r="B3347"/>
  <c r="A3348"/>
  <c r="B3348"/>
  <c r="G3348"/>
  <c r="A3349"/>
  <c r="B3349"/>
  <c r="G3349"/>
  <c r="A3350"/>
  <c r="B3350"/>
  <c r="G3350"/>
  <c r="A3351"/>
  <c r="B3351"/>
  <c r="A3352"/>
  <c r="B3352"/>
  <c r="G3352"/>
  <c r="A3353"/>
  <c r="B3353"/>
  <c r="G3353"/>
  <c r="A3354"/>
  <c r="B3354"/>
  <c r="G3354"/>
  <c r="A3355"/>
  <c r="B3355"/>
  <c r="G3355"/>
  <c r="A3356"/>
  <c r="B3356"/>
  <c r="A3357"/>
  <c r="B3357"/>
  <c r="G3357"/>
  <c r="A3358"/>
  <c r="B3358"/>
  <c r="G3358"/>
  <c r="A3359"/>
  <c r="B3359"/>
  <c r="G3359"/>
  <c r="A3360"/>
  <c r="B3360"/>
  <c r="G3360"/>
  <c r="A3361"/>
  <c r="B3361"/>
  <c r="A3362"/>
  <c r="B3362"/>
  <c r="G3362"/>
  <c r="A3363"/>
  <c r="B3363"/>
  <c r="G3363"/>
  <c r="A3364"/>
  <c r="B3364"/>
  <c r="G3364"/>
  <c r="A3365"/>
  <c r="B3365"/>
  <c r="G3365"/>
  <c r="A3366"/>
  <c r="B3366"/>
  <c r="A3367"/>
  <c r="B3367"/>
  <c r="G3367"/>
  <c r="A3368"/>
  <c r="B3368"/>
  <c r="G3368"/>
  <c r="A3369"/>
  <c r="B3369"/>
  <c r="A3370"/>
  <c r="B3370"/>
  <c r="G3370"/>
  <c r="A3371"/>
  <c r="B3371"/>
  <c r="G3371"/>
  <c r="A3372"/>
  <c r="B3372"/>
  <c r="G3372"/>
</calcChain>
</file>

<file path=xl/sharedStrings.xml><?xml version="1.0" encoding="utf-8"?>
<sst xmlns="http://schemas.openxmlformats.org/spreadsheetml/2006/main" count="26565" uniqueCount="6761">
  <si>
    <t>CIG</t>
  </si>
  <si>
    <t>Codice fiscale struttura proponente</t>
  </si>
  <si>
    <t>Denominazione struttura proponente</t>
  </si>
  <si>
    <t>Gruppo</t>
  </si>
  <si>
    <t>Descrizione lotto</t>
  </si>
  <si>
    <t>Tipologia di gara</t>
  </si>
  <si>
    <t>Partecipante (codice fiscale)</t>
  </si>
  <si>
    <t>Partecipante (identificativo estero)</t>
  </si>
  <si>
    <t>Partecipante (ragione sociale)</t>
  </si>
  <si>
    <t>RTI di appartenenza</t>
  </si>
  <si>
    <t>Tipo membro RTI</t>
  </si>
  <si>
    <t>Aggiudicatario (SI/NO)</t>
  </si>
  <si>
    <t>Importo aggiudicato</t>
  </si>
  <si>
    <t>Azienda USL di Bologna</t>
  </si>
  <si>
    <t>Azienda Ospedaliera Univ. di Bologna</t>
  </si>
  <si>
    <t>Istituto Ortopedico Rizzoli</t>
  </si>
  <si>
    <t>Azienda USL di Imola</t>
  </si>
  <si>
    <t>Azienda USL di Ferrara</t>
  </si>
  <si>
    <t>Azienda Ospedaliera Univ. di Ferrara</t>
  </si>
  <si>
    <t>Azienda USL della Romagna</t>
  </si>
  <si>
    <t>ASP SENECA</t>
  </si>
  <si>
    <t>ASC INSIEME</t>
  </si>
  <si>
    <t>AVEN</t>
  </si>
  <si>
    <t>Azienda Montecatone</t>
  </si>
  <si>
    <t>Azienda USL di Parma</t>
  </si>
  <si>
    <t>Azienda Ospedaliera di Modena</t>
  </si>
  <si>
    <t>Azienda Ospedaliera di Parma</t>
  </si>
  <si>
    <t>Azienda Ospedaliera di Reggio Emilia</t>
  </si>
  <si>
    <t>AUSL di Piacenza</t>
  </si>
  <si>
    <t>AUSL di Cesena</t>
  </si>
  <si>
    <t>Azienda USL di Modena</t>
  </si>
  <si>
    <t>Azienda USL di Reggio Emilia</t>
  </si>
  <si>
    <t>Importo versato</t>
  </si>
  <si>
    <t>Data inizio fornitura</t>
  </si>
  <si>
    <t>Data fine fornitura</t>
  </si>
  <si>
    <t>Data indizione lotto</t>
  </si>
  <si>
    <t>Note</t>
  </si>
  <si>
    <t>SAM - AUSL BO</t>
  </si>
  <si>
    <t>SECONDO RINNOVO MANUTENZIONE TAC BRILLANCE PHILIPS PER AUSLBO-DET. 206 DEL 24.1.2023</t>
  </si>
  <si>
    <t>04-PROCEDURA NEGOZIATA SENZA PREVIA PUBBLICAZIONE</t>
  </si>
  <si>
    <t>PHILIPS  SPA</t>
  </si>
  <si>
    <t>NO</t>
  </si>
  <si>
    <t>RINNOVO MANUTENZIONE PENTAX PER AUSLBO-DET.2669 DEL 2.11.2022</t>
  </si>
  <si>
    <t>PENTAX Italia srl</t>
  </si>
  <si>
    <t>SI</t>
  </si>
  <si>
    <t>65573,00</t>
  </si>
  <si>
    <t>175472,64</t>
  </si>
  <si>
    <t>SAM - CENTRALE UNICA</t>
  </si>
  <si>
    <t>POLIZZA ASSICURATIVA A1202352549-LB LLOYD'S INSURANCE - PROGETTO TRACS- PO 876</t>
  </si>
  <si>
    <t>23-AFFIDAMENTO DIRETTO</t>
  </si>
  <si>
    <t>Willis Italia S.p.A.</t>
  </si>
  <si>
    <t>02-MANDATARIA</t>
  </si>
  <si>
    <t>Aon S.p.A.</t>
  </si>
  <si>
    <t>01-MANDANTE</t>
  </si>
  <si>
    <t>585000,00</t>
  </si>
  <si>
    <t>97500,00</t>
  </si>
  <si>
    <t>53822,00</t>
  </si>
  <si>
    <t>contratto ponte farmaci esclusivi JYSELECA</t>
  </si>
  <si>
    <t>GALAPAGOS BIOPHARMA ITALY SRL</t>
  </si>
  <si>
    <t>139331,52</t>
  </si>
  <si>
    <t>66348,35</t>
  </si>
  <si>
    <t>33174,17</t>
  </si>
  <si>
    <t>6634,83</t>
  </si>
  <si>
    <t>Stent vascolari periferici Proroga tecnica</t>
  </si>
  <si>
    <t>Abbott Medical Italia srl</t>
  </si>
  <si>
    <t>14299,36</t>
  </si>
  <si>
    <t>2166,57</t>
  </si>
  <si>
    <t>12132,79</t>
  </si>
  <si>
    <t>BECTON DICKINSON ITALIA SPA</t>
  </si>
  <si>
    <t>123970,00</t>
  </si>
  <si>
    <t>24794,00</t>
  </si>
  <si>
    <t>99176,00</t>
  </si>
  <si>
    <t>CARDINAL HEALTH ITALY 509 S.R.L.</t>
  </si>
  <si>
    <t>3360,00</t>
  </si>
  <si>
    <t>2400,00</t>
  </si>
  <si>
    <t>960,00</t>
  </si>
  <si>
    <t>COOK ITALIA</t>
  </si>
  <si>
    <t>39100,00</t>
  </si>
  <si>
    <t>3400,00</t>
  </si>
  <si>
    <t>35700,00</t>
  </si>
  <si>
    <t>CROSSMED</t>
  </si>
  <si>
    <t>5600,00</t>
  </si>
  <si>
    <t>2100,00</t>
  </si>
  <si>
    <t>3500,00</t>
  </si>
  <si>
    <t>Getinge Italia Srl</t>
  </si>
  <si>
    <t>214500,00</t>
  </si>
  <si>
    <t>8250,00</t>
  </si>
  <si>
    <t>206250,00</t>
  </si>
  <si>
    <t>MEDTRONIC ITALIA SPA</t>
  </si>
  <si>
    <t>37900,00</t>
  </si>
  <si>
    <t>12525,00</t>
  </si>
  <si>
    <t>25375,00</t>
  </si>
  <si>
    <t>SEDA S.p.A.</t>
  </si>
  <si>
    <t>35680,00</t>
  </si>
  <si>
    <t>1630,00</t>
  </si>
  <si>
    <t>34050,00</t>
  </si>
  <si>
    <t>Terumo Italia S.r.l.</t>
  </si>
  <si>
    <t>21863,23</t>
  </si>
  <si>
    <t>Proroga tecnica al 31/03/2023 serv. postali ex lotti 2,4,5 per AOUBO, Ausl Imola, IOR</t>
  </si>
  <si>
    <t>33-PROCEDURA NEGOZIATA PER AFFIDAMENTI SOTTO SOGLIA</t>
  </si>
  <si>
    <t>POSTE ITALIANE S.P.A.- SOCIETÃ  CON SOCIO UNICO</t>
  </si>
  <si>
    <t>65750,00</t>
  </si>
  <si>
    <t>24600,00</t>
  </si>
  <si>
    <t>20000,00</t>
  </si>
  <si>
    <t>21150,00</t>
  </si>
  <si>
    <t>Postel SpA</t>
  </si>
  <si>
    <t>Ult provv.ti per servizi postali di notificazione atti giudiziari/sanzioni amm.ve Ausl di Imola</t>
  </si>
  <si>
    <t>RTI - POSTE ITALIANE S.P.A.- SOCIETÃ  CON SOCIO UNICO - Postel SpA</t>
  </si>
  <si>
    <t>18000,00</t>
  </si>
  <si>
    <t>Contratto ponte fornitura calzature prof.li/sanitarie e sicurezza nelle more nuova gara Intercent per Ausl Bo, Aou Bo, Ausl Imola e IOR</t>
  </si>
  <si>
    <t>VOLTA PROFESSIONAL SRL</t>
  </si>
  <si>
    <t>86647,00</t>
  </si>
  <si>
    <t>36670,00</t>
  </si>
  <si>
    <t>26267,00</t>
  </si>
  <si>
    <t>7800,00</t>
  </si>
  <si>
    <t>15910,00</t>
  </si>
  <si>
    <t>MATERIALE DI CONSUMO PER MICROINFUSORI</t>
  </si>
  <si>
    <t>26-AFFIDAMENTO DIRETTO IN ADESIONE AD ACCORDO QUADRO/CONVENZIONE</t>
  </si>
  <si>
    <t>ROCHE DIABETES CARE ITALY SPA - SOCIETA' UNIPERSONALE -</t>
  </si>
  <si>
    <t>181597,23</t>
  </si>
  <si>
    <t>144448,69</t>
  </si>
  <si>
    <t>DET.3258/22-TNT STERILE Proroga tecnica</t>
  </si>
  <si>
    <t>CAM HOSPITAL SRL</t>
  </si>
  <si>
    <t>86182,20</t>
  </si>
  <si>
    <t>0,00</t>
  </si>
  <si>
    <t>DITTA LUIGI SALVADORI S.p.A.</t>
  </si>
  <si>
    <t>19503,30</t>
  </si>
  <si>
    <t>MOLNLYCKE HEALTH CARE SRL</t>
  </si>
  <si>
    <t>569646,34</t>
  </si>
  <si>
    <t>DET.3332/22 PROROGA TECNICA 3 MESI SERVICE ESECUZIONE FALSI POSITIVI HIV, EPATITE B, EPATITE C E SIFILIDE PER IL SIMT</t>
  </si>
  <si>
    <t>DIASORIN SPA</t>
  </si>
  <si>
    <t>11270,50</t>
  </si>
  <si>
    <t>DET.3332/22 PROROGA TECNICA SERVICE IDONEITA' SIEROLOGICA SACCHE DI SANGUE</t>
  </si>
  <si>
    <t>ABBOTT S.r.l.</t>
  </si>
  <si>
    <t>187368,00</t>
  </si>
  <si>
    <t>DETE 3334/2022 - Attivazione accordi convenzione pasti per operatori 118 AUSL BO - L'Oasi</t>
  </si>
  <si>
    <t>L'Oasi</t>
  </si>
  <si>
    <t>17765,00</t>
  </si>
  <si>
    <t>DETE 3334/2022 - Attivazione accordi convenzione pasti operatori 118 VAV AUSL BO - Il Drago Verde</t>
  </si>
  <si>
    <t>Il Drago Verde</t>
  </si>
  <si>
    <t>21739,00</t>
  </si>
  <si>
    <t>DETE 3334/2022 - Attivazione accordi convenzione pasti operatori 118 VAV - Azienda USL di Bologna - Osteria dei Sani</t>
  </si>
  <si>
    <t>Osteria dei Sani</t>
  </si>
  <si>
    <t>6400,00</t>
  </si>
  <si>
    <t>DET.3385/22-DM per EMODINAMICA (esclusi stent) Proroga tecnica</t>
  </si>
  <si>
    <t>115000,00</t>
  </si>
  <si>
    <t>ab medica spa</t>
  </si>
  <si>
    <t>122950,82</t>
  </si>
  <si>
    <t>50000,00</t>
  </si>
  <si>
    <t>1480,00</t>
  </si>
  <si>
    <t>EU KON Srl</t>
  </si>
  <si>
    <t>7000,00</t>
  </si>
  <si>
    <t>INNOVA HTS srl</t>
  </si>
  <si>
    <t>5000,00</t>
  </si>
  <si>
    <t>Kardia Srl</t>
  </si>
  <si>
    <t>5400,00</t>
  </si>
  <si>
    <t>DETE 3334/2022 - Attivazione convenzione pasti operatori 118 AUSL BO VAV - La Badia</t>
  </si>
  <si>
    <t>3640,00</t>
  </si>
  <si>
    <t>DET. 3400/2022 PROROGA AGHI E DM PER DIALISI - DRM</t>
  </si>
  <si>
    <t>D.R.M. S.R.L.</t>
  </si>
  <si>
    <t>3783,33</t>
  </si>
  <si>
    <t>DET. 3400/2022 PROROGA AGHI E DM PER  DIALISI - EMODIAL</t>
  </si>
  <si>
    <t>EMODIAL SRL</t>
  </si>
  <si>
    <t>26600,00</t>
  </si>
  <si>
    <t>DET. 3400/2022 PROROGA TECNICA AGHI E DM PER DIALISI - MEDTRONIC</t>
  </si>
  <si>
    <t>27-CONFRONTO COMPETITIVO IN ADESIONE AD ACCORDO QUADRO/CONVENZIONE</t>
  </si>
  <si>
    <t>4520,00</t>
  </si>
  <si>
    <t>DET. 3400/2022 PROROGA AGHI E DM PER DIALISI - NIPRO</t>
  </si>
  <si>
    <t>NIPRO MEDICAL ITALY S.R.L. CON SOCIO UNICO</t>
  </si>
  <si>
    <t>17840,00</t>
  </si>
  <si>
    <t>DETE 3412/2022 DM ENDOSCOPIA DIGESTIVA (ex lotti 1 - 17) PROROGA 2023</t>
  </si>
  <si>
    <t>ARS CHIRURGICA SRL</t>
  </si>
  <si>
    <t>109500,00</t>
  </si>
  <si>
    <t>Det 2522 2022 Rinnovo LOTTO 4 PA PI 78442 19. Servizi per le dipendenze patologiche per il DSM DP e il programma integrato dipendenze patologiche e assistenza alle popolazioni vulnerabili AUSL di Bologna</t>
  </si>
  <si>
    <t>ETA BETA COOPERATIVA SOCIALE ONLUSO</t>
  </si>
  <si>
    <t>136633,66</t>
  </si>
  <si>
    <t>DETE 3412/2022 - DM ENDOSCOPIA DIGESTIVA (ex lotti 1 - 17) PROROGA 2023</t>
  </si>
  <si>
    <t>OLYMPUS ITALIA</t>
  </si>
  <si>
    <t>42925,00</t>
  </si>
  <si>
    <t>Paul Hartmann S.p.A.</t>
  </si>
  <si>
    <t>63288,30</t>
  </si>
  <si>
    <t>det 3340/22 contratto ponte farmaco biologico Adalimumab</t>
  </si>
  <si>
    <t>Sandoz Spa</t>
  </si>
  <si>
    <t>485817,03</t>
  </si>
  <si>
    <t>det 3340/22 contratto ponte farmaco esclusivo Erleada</t>
  </si>
  <si>
    <t>Janssen-cilag spa</t>
  </si>
  <si>
    <t>243641,16</t>
  </si>
  <si>
    <t>Det 2522 2022 Rinnovo LOTTO 2 PA PI 78442 19. Servizi per le dipendenze patologiche per il DSM DP e il programma integrato dipendenze patologiche e assistenza alle popolazioni vulnerabili AUSL di Bologna</t>
  </si>
  <si>
    <t>C.A.D.I.A.I. Cooperativa Assistenza Domiciliare Infermi Anziani Infanzia Soc. a r.l. Coop. Sociale</t>
  </si>
  <si>
    <t>75750,00</t>
  </si>
  <si>
    <t>B.BRAUN MILANO SPA</t>
  </si>
  <si>
    <t>45081,97</t>
  </si>
  <si>
    <t>BOSTON SCIENTIFIC S.P.A.</t>
  </si>
  <si>
    <t>204918,03</t>
  </si>
  <si>
    <t>MED-ITALIA BIOMEDICA S.r.l.</t>
  </si>
  <si>
    <t>24590,16</t>
  </si>
  <si>
    <t>90163,93</t>
  </si>
  <si>
    <t>TELEFLEX MEDICAL SRL</t>
  </si>
  <si>
    <t>6900,00</t>
  </si>
  <si>
    <t>VASCOMED SRL</t>
  </si>
  <si>
    <t>9836,07</t>
  </si>
  <si>
    <t>197650,00</t>
  </si>
  <si>
    <t>29600,00</t>
  </si>
  <si>
    <t>EUROMEDICAL S.R.L.</t>
  </si>
  <si>
    <t>17650,00</t>
  </si>
  <si>
    <t>DIP.TI AZIENDA USL</t>
  </si>
  <si>
    <t>noleggio sala</t>
  </si>
  <si>
    <t>EUROPA HOTEL SRL</t>
  </si>
  <si>
    <t>500,00</t>
  </si>
  <si>
    <t>WORKSHOP DEL 13/01/2023 - LO STATO EPILETTICO IN EMILIA ROMAGNA:UN PROGETTO DI INTEGRAZIONE FRA PROFESSIONISTI</t>
  </si>
  <si>
    <t>PTS CONGRESSI SRL</t>
  </si>
  <si>
    <t>11000,00</t>
  </si>
  <si>
    <t>15605,74</t>
  </si>
  <si>
    <t>DET. 3059/22 NOLEGGIO BIENNALE DEFIBRILLATORI INDOSSABILI</t>
  </si>
  <si>
    <t>ZOLL MEDICAL ITALIA</t>
  </si>
  <si>
    <t>104550,00</t>
  </si>
  <si>
    <t>SERVICE SISTEMA DIAGNOSTICA ONCOLOGICA E PRENATALE</t>
  </si>
  <si>
    <t>DASIT S.P.A.</t>
  </si>
  <si>
    <t>426517,00</t>
  </si>
  <si>
    <t>Dete 3334 2022 Acquisizione di un servizio di consulenza in ambito tributario fiscale e civilistico nonche per attivita di formazione ad essa correlata AUSL BO</t>
  </si>
  <si>
    <t>P.A. CONSULTING S.T.P.</t>
  </si>
  <si>
    <t>49625,00</t>
  </si>
  <si>
    <t>dete  3261 del 22 12 2022 fornitura di un generatore laser e materiale di consumo per Ausl di Bologna</t>
  </si>
  <si>
    <t>D.I.M.E.D. SRL</t>
  </si>
  <si>
    <t>179500,00</t>
  </si>
  <si>
    <t>Contratto ponte fornitura calzature prof.li, sanitarie e di sicurezza per l'Ausl di Bologna nelle more gara Intercent-ER - Det. n. 3382 del 29/12/2022</t>
  </si>
  <si>
    <t>Servizio trasporto persone con conducente mediante utilizzo taxi card per l'Ausl di Bologna - Det. n. 3170 del 15/12/2022</t>
  </si>
  <si>
    <t>CO.TA.BO. Soc. Coop.</t>
  </si>
  <si>
    <t>135000,00</t>
  </si>
  <si>
    <t>DETE 3162/2022 - AUSL BO - PROROGA TECNICA DEL SERVIZIO DI PULIZIA E IGIENE AMBIENTALE NELLE MORE DI CONCLUSIONE PROCEDURE DI GARA</t>
  </si>
  <si>
    <t>Rekeep S.p.A.</t>
  </si>
  <si>
    <t>RTI REKEEP SPA - L'OPEROSA SCRL - COPMA SCRL</t>
  </si>
  <si>
    <t>L'OPEROSA SOC. COOP. A RL</t>
  </si>
  <si>
    <t>COPMA SOC. COOP. A RL</t>
  </si>
  <si>
    <t>13813368,00</t>
  </si>
  <si>
    <t>Det 2522 2022 Rinnovo LOTTO 5 PA PI 78442 19. Servizi per le dipendenze patologiche per il DSM DP e il programma integrato dipendenze patologiche e assistenza alle popolazioni vulnerabili AUSL di Bologna</t>
  </si>
  <si>
    <t>Sol.Co. Civitas Consorzio fra Cooperative Sociali di Solidarieta' S.C.S.</t>
  </si>
  <si>
    <t>RTI CADIAI - SOLCO CIVITAS</t>
  </si>
  <si>
    <t>134520,75</t>
  </si>
  <si>
    <t>Det 2522 2022 Rinnovo LOTTO 3 PA PI 78442 19. Servizi per le dipendenze patologiche per il DSM DP e il programma integrato dipendenze patologiche e assistenza alle popolazioni vulnerabili AUSL di Bologna</t>
  </si>
  <si>
    <t>LA CAROVANA SOCIETA' COOPERATIVA</t>
  </si>
  <si>
    <t>RTI LA CAROVANA - CADIAI</t>
  </si>
  <si>
    <t>75700,00</t>
  </si>
  <si>
    <t>Det 2522 2022  Rinnovo LOTTO 1 PA PI 78442 19. Servizi per le dipendenze patologiche per il DSM DP e il programma integrato dipendenze patologiche e  assistenza alle popolazioni vulnerabili AUSL di Bologna</t>
  </si>
  <si>
    <t>RTI CADIAI - LA CAROVANA - SOLCO CIVITAS</t>
  </si>
  <si>
    <t>321700,00</t>
  </si>
  <si>
    <t>contratto ponte farmaco esclusivo Tukysa</t>
  </si>
  <si>
    <t>seagen bv</t>
  </si>
  <si>
    <t>191451,89</t>
  </si>
  <si>
    <t>67665,50</t>
  </si>
  <si>
    <t>87439,10</t>
  </si>
  <si>
    <t>36347,29</t>
  </si>
  <si>
    <t>contratto ponte farmaco esclusivo Hizentra</t>
  </si>
  <si>
    <t>CSL Behring S.p.A.</t>
  </si>
  <si>
    <t>584800,00</t>
  </si>
  <si>
    <t>402587,50</t>
  </si>
  <si>
    <t>153650,00</t>
  </si>
  <si>
    <t>28562,50</t>
  </si>
  <si>
    <t>RINNOVO SERVICE SISTEMI MODULARI PER CROMATOGRAFIA LIQUIDA HPLC PER CDT</t>
  </si>
  <si>
    <t>B.S.N. Biological Sales Network s.r.l.</t>
  </si>
  <si>
    <t>180460,00</t>
  </si>
  <si>
    <t>143160,00</t>
  </si>
  <si>
    <t>37300,00</t>
  </si>
  <si>
    <t>LANCETTE PUNGIDITO, STRISCE GLICEMIA (AMBITO TERRITORIALE) Proroga</t>
  </si>
  <si>
    <t>A. MENARINI DIAGNOSTICS SRL</t>
  </si>
  <si>
    <t>164186,40</t>
  </si>
  <si>
    <t>149100,00</t>
  </si>
  <si>
    <t>15086,40</t>
  </si>
  <si>
    <t>158665,50</t>
  </si>
  <si>
    <t>151200,00</t>
  </si>
  <si>
    <t>7465,50</t>
  </si>
  <si>
    <t>ASCENSIA DIABETES CARE ITALY S.R.L.</t>
  </si>
  <si>
    <t>45707,50</t>
  </si>
  <si>
    <t>44062,50</t>
  </si>
  <si>
    <t>1645,00</t>
  </si>
  <si>
    <t>BENEFIS S.R.L.</t>
  </si>
  <si>
    <t>19497,60</t>
  </si>
  <si>
    <t>1497,60</t>
  </si>
  <si>
    <t>LIFESCAN ITALY SRL</t>
  </si>
  <si>
    <t>51366,00</t>
  </si>
  <si>
    <t>46200,00</t>
  </si>
  <si>
    <t>5166,00</t>
  </si>
  <si>
    <t>28008,00</t>
  </si>
  <si>
    <t>25200,00</t>
  </si>
  <si>
    <t>2808,00</t>
  </si>
  <si>
    <t>Sanofi S.r.l.</t>
  </si>
  <si>
    <t>42250,00</t>
  </si>
  <si>
    <t>37180,00</t>
  </si>
  <si>
    <t>5070,00</t>
  </si>
  <si>
    <t>PROROGA TECNICA RELATIVA ALLA FORNITURA DI COMBO KIT PER MICROINFUSORI961799086D</t>
  </si>
  <si>
    <t>MOVI S.P.A.</t>
  </si>
  <si>
    <t>629625,80</t>
  </si>
  <si>
    <t>492652,20</t>
  </si>
  <si>
    <t>136973,60</t>
  </si>
  <si>
    <t>Proroga tecnica al 31/07/2023 serv. facchinaggio e trasloco per Ausl di Imola nelle more nuova aggiudicaz. IntercentER</t>
  </si>
  <si>
    <t>COOPSERVICE S. Coop. p. A.</t>
  </si>
  <si>
    <t>RTI - COOPSERVICE - C.F.P</t>
  </si>
  <si>
    <t>C.F.P. SOC. COOP.</t>
  </si>
  <si>
    <t>137544,00</t>
  </si>
  <si>
    <t>PROROGA AVEC SERVICE INDAGINI IMMUNOEMATOLOGICHE</t>
  </si>
  <si>
    <t xml:space="preserve">Dia4it s.r.l.  </t>
  </si>
  <si>
    <t>128637,03</t>
  </si>
  <si>
    <t>89385,77</t>
  </si>
  <si>
    <t>16667,63</t>
  </si>
  <si>
    <t>22583,63</t>
  </si>
  <si>
    <t>AFFIDAMENTO DIRETTO DI VIDEOBRONCOSCOPI MONOUSO</t>
  </si>
  <si>
    <t>Ambu S.r.l.</t>
  </si>
  <si>
    <t>130032,00</t>
  </si>
  <si>
    <t>AFFIDAMENTO DIRETTO PROTESI VASCOLARI PROPATEN</t>
  </si>
  <si>
    <t>W.L. GORE &amp; ASSOCIATI</t>
  </si>
  <si>
    <t>75833,33</t>
  </si>
  <si>
    <t>17500,00</t>
  </si>
  <si>
    <t>58333,33</t>
  </si>
  <si>
    <t>AFFIDAMENTO DIRETTO PROTESI VASCOLARI GELWEAVE</t>
  </si>
  <si>
    <t>Serom Medical Technology Srl</t>
  </si>
  <si>
    <t>99166,67</t>
  </si>
  <si>
    <t>AFFIDAMENTO DIRETTO FELT IN PTFE</t>
  </si>
  <si>
    <t>46900,00</t>
  </si>
  <si>
    <t>aoubo - contratto ponte farmaco esclusivo Elzonris</t>
  </si>
  <si>
    <t>MENARINI STEMLINE ITALIA S.R.L.</t>
  </si>
  <si>
    <t>1444353,40</t>
  </si>
  <si>
    <t>Contratto Ponte farmaco esclusivo Tecfidera</t>
  </si>
  <si>
    <t>BIOGEN ITALIA SRL</t>
  </si>
  <si>
    <t>1221013,99</t>
  </si>
  <si>
    <t>1007611,61</t>
  </si>
  <si>
    <t>1572,36</t>
  </si>
  <si>
    <t>211830,02</t>
  </si>
  <si>
    <t>Rinnovo materiale di consumo per sistemi robotici Da Vinci</t>
  </si>
  <si>
    <t>5130000,00</t>
  </si>
  <si>
    <t>2660000,00</t>
  </si>
  <si>
    <t>2470000,00</t>
  </si>
  <si>
    <t>RINNOVO FORNITURA REAGENTI /MATERIALE DI CONSUMO OCCORRENETE AL SEQUENZIAMENTO NGS PER SARS</t>
  </si>
  <si>
    <t>Technogenetics SpA</t>
  </si>
  <si>
    <t>118786,15</t>
  </si>
  <si>
    <t>Stent graft premontati Begraft Contratto ponte</t>
  </si>
  <si>
    <t>BIO VASCULAR GROUP S.R.L.</t>
  </si>
  <si>
    <t>98000,00</t>
  </si>
  <si>
    <t>94500,00</t>
  </si>
  <si>
    <t>Contratto ponte farmaco esclusivo Oxlumo</t>
  </si>
  <si>
    <t>ALNYLAM ITALY SRL</t>
  </si>
  <si>
    <t>304211,12</t>
  </si>
  <si>
    <t>AD SISTEMA GAITING CARDIACO</t>
  </si>
  <si>
    <t>149000,00</t>
  </si>
  <si>
    <t>contratto ponte farmaci sostitutivi fattore VIII - Novoeight</t>
  </si>
  <si>
    <t>NOVO NORDISK S.P.A.</t>
  </si>
  <si>
    <t>153924,00</t>
  </si>
  <si>
    <t>120904,00</t>
  </si>
  <si>
    <t>33020,00</t>
  </si>
  <si>
    <t>contratto ponte farmaci sostitutivi fattore VIII - AFSTYLA</t>
  </si>
  <si>
    <t>167048,70</t>
  </si>
  <si>
    <t>10972,00</t>
  </si>
  <si>
    <t>5211,70</t>
  </si>
  <si>
    <t>150865,00</t>
  </si>
  <si>
    <t xml:space="preserve">contratto ponte farmaci sostitutivi fattore VIII - KOVALTRY </t>
  </si>
  <si>
    <t>BAYER S.p.A.</t>
  </si>
  <si>
    <t>318843,06</t>
  </si>
  <si>
    <t>218770,26</t>
  </si>
  <si>
    <t>100072,80</t>
  </si>
  <si>
    <t>LOTTO 1 CHIRURGIA DELLA CATARATTA</t>
  </si>
  <si>
    <t>Alcon Italia S.p.A.</t>
  </si>
  <si>
    <t>249945,00</t>
  </si>
  <si>
    <t>124687,50</t>
  </si>
  <si>
    <t>39757,50</t>
  </si>
  <si>
    <t>26718,75</t>
  </si>
  <si>
    <t>21375,00</t>
  </si>
  <si>
    <t>37406,25</t>
  </si>
  <si>
    <t>LOTTO 2 CHIRURGIA VITREO-RETINICA</t>
  </si>
  <si>
    <t>306823,53</t>
  </si>
  <si>
    <t>100296,25</t>
  </si>
  <si>
    <t>140000,00</t>
  </si>
  <si>
    <t>30991,45</t>
  </si>
  <si>
    <t>35535,83</t>
  </si>
  <si>
    <t>contratto ponte farmaco esclusivo Bylvay</t>
  </si>
  <si>
    <t>Albireo AB</t>
  </si>
  <si>
    <t>411317,93</t>
  </si>
  <si>
    <t>117497,75</t>
  </si>
  <si>
    <t>238785,75</t>
  </si>
  <si>
    <t>55034,43</t>
  </si>
  <si>
    <t>RINNOVO SERVICE SISTEMI DIAGNOSTICI VES</t>
  </si>
  <si>
    <t>ALIFAX SRL</t>
  </si>
  <si>
    <t>72245,00</t>
  </si>
  <si>
    <t>55145,00</t>
  </si>
  <si>
    <t>17100,00</t>
  </si>
  <si>
    <t>RINNVO SERVICE SISTEMI ESECUZIONE TEST ANTIGENICI RAPIDI AUSL BO IOR</t>
  </si>
  <si>
    <t xml:space="preserve">Relab srl </t>
  </si>
  <si>
    <t>394860,00</t>
  </si>
  <si>
    <t>360000,00</t>
  </si>
  <si>
    <t>34860,00</t>
  </si>
  <si>
    <t>fornitura di aggiornamenti software per intellispace portal e apparecchiature per risonanza magnetica 1,5t e 3t</t>
  </si>
  <si>
    <t>188682,59</t>
  </si>
  <si>
    <t>PROROGA TECNICA PROTESI VASCOLARI E PATCH</t>
  </si>
  <si>
    <t>48052,00</t>
  </si>
  <si>
    <t>4723,00</t>
  </si>
  <si>
    <t>26467,00</t>
  </si>
  <si>
    <t>884,00</t>
  </si>
  <si>
    <t>15978,00</t>
  </si>
  <si>
    <t>LEMAITRE VASCULAR SRL</t>
  </si>
  <si>
    <t>22780,00</t>
  </si>
  <si>
    <t>4335,00</t>
  </si>
  <si>
    <t>11985,00</t>
  </si>
  <si>
    <t>6460,00</t>
  </si>
  <si>
    <t>35570,00</t>
  </si>
  <si>
    <t>8050,00</t>
  </si>
  <si>
    <t>25925,00</t>
  </si>
  <si>
    <t>1135,00</t>
  </si>
  <si>
    <t>460,00</t>
  </si>
  <si>
    <t>29097,00</t>
  </si>
  <si>
    <t>9382,00</t>
  </si>
  <si>
    <t>4248,50</t>
  </si>
  <si>
    <t>1529,50</t>
  </si>
  <si>
    <t>13937,00</t>
  </si>
  <si>
    <t>PROROGA TECNICA RELATIVA ALLA FORNITURA DI ELETTROCATETERI PER ELETTROFISIOLOGIA NELLE MORE DELLA NUOVA PROCEDURA DI GARA INDETTA CON DET.N. 826/2023 DEL SAAV</t>
  </si>
  <si>
    <t>FIAB SPA</t>
  </si>
  <si>
    <t>34127,63</t>
  </si>
  <si>
    <t>7907,63</t>
  </si>
  <si>
    <t>24937,50</t>
  </si>
  <si>
    <t>1282,50</t>
  </si>
  <si>
    <t>153687,95</t>
  </si>
  <si>
    <t>102658,20</t>
  </si>
  <si>
    <t>51029,75</t>
  </si>
  <si>
    <t>250107,62</t>
  </si>
  <si>
    <t>98603,55</t>
  </si>
  <si>
    <t>151504,07</t>
  </si>
  <si>
    <t>JOHNSON &amp; JOHNSON MEDICAL S.p.A.</t>
  </si>
  <si>
    <t>147624,75</t>
  </si>
  <si>
    <t>67158,00</t>
  </si>
  <si>
    <t>80466,75</t>
  </si>
  <si>
    <t>aoubo - contratto ponte farmaco esclusivo Kimmtrak</t>
  </si>
  <si>
    <t xml:space="preserve">EUROMED SRL </t>
  </si>
  <si>
    <t>392664,30</t>
  </si>
  <si>
    <t>Fornitura braccialetti identificativi originali Zebra per AuslBo,AospBo,AuslImola, IOR, AospFe</t>
  </si>
  <si>
    <t>01-PROCEDURA APERTA</t>
  </si>
  <si>
    <t>SORI dp S.R.L.</t>
  </si>
  <si>
    <t>410288,10</t>
  </si>
  <si>
    <t>167484,90</t>
  </si>
  <si>
    <t>128682,60</t>
  </si>
  <si>
    <t>25624,80</t>
  </si>
  <si>
    <t>26010,00</t>
  </si>
  <si>
    <t>62485,80</t>
  </si>
  <si>
    <t>CERACARTA S.P.A.</t>
  </si>
  <si>
    <t>Ausl Imola Contratto Ponte Dovato</t>
  </si>
  <si>
    <t>VIIVHEALTHCARE SRL</t>
  </si>
  <si>
    <t>199160,15</t>
  </si>
  <si>
    <t>SERVICE SISTEMI VALUTAZIONE EMOSTASI E MATERIALE DI CONSUMO PER IL POLO CTV</t>
  </si>
  <si>
    <t>INSTRUMENTATION LABORATORY S.p.A.</t>
  </si>
  <si>
    <t>283986,00</t>
  </si>
  <si>
    <t>Contratto ponte farmaco esclusivo LUMYKRAS</t>
  </si>
  <si>
    <t>AMGEN SRL</t>
  </si>
  <si>
    <t>213677,22</t>
  </si>
  <si>
    <t>117890,88</t>
  </si>
  <si>
    <t>71225,74</t>
  </si>
  <si>
    <t>24560,60</t>
  </si>
  <si>
    <t>Contratto ponte farmaci esclusivi BRIDION</t>
  </si>
  <si>
    <t>MSD ITALIA SRL</t>
  </si>
  <si>
    <t>987749,28</t>
  </si>
  <si>
    <t>465824,70</t>
  </si>
  <si>
    <t>379004,80</t>
  </si>
  <si>
    <t>16028,40</t>
  </si>
  <si>
    <t>126891,38</t>
  </si>
  <si>
    <t>contratto ponte farmaci esclusivi HEPCLUDEX</t>
  </si>
  <si>
    <t>GILEAD SCIENCES</t>
  </si>
  <si>
    <t>616549,94</t>
  </si>
  <si>
    <t>211229,73</t>
  </si>
  <si>
    <t>371968,15</t>
  </si>
  <si>
    <t>33352,06</t>
  </si>
  <si>
    <t>AOUBO esito procedura acquisizione manutenzione e assistenza sw Datawarehouse per aoubo</t>
  </si>
  <si>
    <t>MIES SRL</t>
  </si>
  <si>
    <t>130000,00</t>
  </si>
  <si>
    <t>PROROGA TECNICA SERVICE URINE AVEC</t>
  </si>
  <si>
    <t>332948,44</t>
  </si>
  <si>
    <t>244162,70</t>
  </si>
  <si>
    <t>88785,74</t>
  </si>
  <si>
    <t>RDO fornitura centri stampa AUSL BO/AOU BO e IOR</t>
  </si>
  <si>
    <t>AUGUSTO BERNI CARTA CANCELLERIA S.P.A.</t>
  </si>
  <si>
    <t>62163,41</t>
  </si>
  <si>
    <t>56707,80</t>
  </si>
  <si>
    <t>5455,61</t>
  </si>
  <si>
    <t>RDO fornitura etichette ed etichette termiche (Lotto 1)</t>
  </si>
  <si>
    <t>57967,50</t>
  </si>
  <si>
    <t>55548,50</t>
  </si>
  <si>
    <t>2419,00</t>
  </si>
  <si>
    <t>RDO fornitura etichette ed etichette termiche (Lotto 2)</t>
  </si>
  <si>
    <t>43527,92</t>
  </si>
  <si>
    <t>18106,06</t>
  </si>
  <si>
    <t>13106,86</t>
  </si>
  <si>
    <t>216,00</t>
  </si>
  <si>
    <t>12099,00</t>
  </si>
  <si>
    <t>Fornitura di pane e altri prodotti della panificazione</t>
  </si>
  <si>
    <t>NOVOFORNO SRL</t>
  </si>
  <si>
    <t>205263,60</t>
  </si>
  <si>
    <t>AFFIDAMENTO DIRETTO SERVICE SISTEMA ESTRAZIONE ACIDI NUCLEICI PCR AOU BO</t>
  </si>
  <si>
    <t>QIAGEN S.R.L.</t>
  </si>
  <si>
    <t>77185,82</t>
  </si>
  <si>
    <t>Incremento service chirurgia della cataratta</t>
  </si>
  <si>
    <t>19608,00</t>
  </si>
  <si>
    <t>Incremento service chirurgia vitreo-retinica</t>
  </si>
  <si>
    <t>88379,02</t>
  </si>
  <si>
    <t>21120,00</t>
  </si>
  <si>
    <t>8532,55</t>
  </si>
  <si>
    <t>58726,47</t>
  </si>
  <si>
    <t>P.N. DISPOSITIVI MEDICI PER RADIOEMBOLIZZAZIONE (TARE) AOUBO</t>
  </si>
  <si>
    <t>29850,00</t>
  </si>
  <si>
    <t>420000,00</t>
  </si>
  <si>
    <t>contratto ponte Remodulin</t>
  </si>
  <si>
    <t>DompÃ© Farmaceutici S.p.A.</t>
  </si>
  <si>
    <t>667455,00</t>
  </si>
  <si>
    <t>553530,00</t>
  </si>
  <si>
    <t>113925,00</t>
  </si>
  <si>
    <t>STRISCE REATTIVE E SISTEMI PER DIAGNOSTICA GLICEMIA (AMBITO TERRITORIALE)</t>
  </si>
  <si>
    <t>30000,00</t>
  </si>
  <si>
    <t>244650,00</t>
  </si>
  <si>
    <t>231000,00</t>
  </si>
  <si>
    <t>13650,00</t>
  </si>
  <si>
    <t>144760,00</t>
  </si>
  <si>
    <t>141000,00</t>
  </si>
  <si>
    <t>3760,00</t>
  </si>
  <si>
    <t>43200,00</t>
  </si>
  <si>
    <t>38400,00</t>
  </si>
  <si>
    <t>4800,00</t>
  </si>
  <si>
    <t>131820,00</t>
  </si>
  <si>
    <t>118300,00</t>
  </si>
  <si>
    <t>13520,00</t>
  </si>
  <si>
    <t>DEFIBRILLATORI IMPIANTABILI E PACEMAKER CONTRATTO PONTE</t>
  </si>
  <si>
    <t>211281,30</t>
  </si>
  <si>
    <t>89052,00</t>
  </si>
  <si>
    <t>97359,90</t>
  </si>
  <si>
    <t>24869,40</t>
  </si>
  <si>
    <t>1477574,28</t>
  </si>
  <si>
    <t>641032,35</t>
  </si>
  <si>
    <t>720556,20</t>
  </si>
  <si>
    <t>115985,73</t>
  </si>
  <si>
    <t>Microport CRM SRL</t>
  </si>
  <si>
    <t>164041,20</t>
  </si>
  <si>
    <t>66319,20</t>
  </si>
  <si>
    <t>47214,00</t>
  </si>
  <si>
    <t>50508,00</t>
  </si>
  <si>
    <t>239592,60</t>
  </si>
  <si>
    <t>88410,00</t>
  </si>
  <si>
    <t>148334,00</t>
  </si>
  <si>
    <t>2848,60</t>
  </si>
  <si>
    <t>BIOTRONIK ITALIA SPA</t>
  </si>
  <si>
    <t>638917,65</t>
  </si>
  <si>
    <t>227998,05</t>
  </si>
  <si>
    <t>383428,50</t>
  </si>
  <si>
    <t>27491,10</t>
  </si>
  <si>
    <t>P.A. PROTESI VASCOLARI E PATCH</t>
  </si>
  <si>
    <t>LOTTO DESERTO</t>
  </si>
  <si>
    <t>GADA ITALIA SPA</t>
  </si>
  <si>
    <t>BIO SUD MEDICAL SYSTEM S.R.L.</t>
  </si>
  <si>
    <t>REAGENTI E CONSUMABILI PER LA VALIDAZIONE DI NUOVI PROTOCOLLI MEDIANTE LA STRUMENTAZIONE DI SEQUENZIAMENTO NGS</t>
  </si>
  <si>
    <t>ILLUMINA ITALY s.r.l.</t>
  </si>
  <si>
    <t>204515,65</t>
  </si>
  <si>
    <t>MATERIALE DI CONSUMO PER SISTEMI VIDEOARTROSCOPICI ARTHREX ITALIA S.R.L. LOTTO 1</t>
  </si>
  <si>
    <t>arthrex italia srl</t>
  </si>
  <si>
    <t>63964,80</t>
  </si>
  <si>
    <t>MATERIALE DI CONSUMO PER SISTEMI VIDEOARTROSCOPICI SMITH AND NEPHEW S.R.L. LOTTO 2</t>
  </si>
  <si>
    <t>SMITH &amp; NEPHEW SRL</t>
  </si>
  <si>
    <t>115800,00</t>
  </si>
  <si>
    <t>CONTRATTO PONTE PER LA FORNITURA DI LOOP RECORDER. LINQ II TM mod. LNQ22</t>
  </si>
  <si>
    <t>Medstep S.r.l.</t>
  </si>
  <si>
    <t>83250,00</t>
  </si>
  <si>
    <t>56250,00</t>
  </si>
  <si>
    <t>27000,00</t>
  </si>
  <si>
    <t>CONTRATTO PONTE PER LA FORNITURA DI LOOP RECORDER. REVEAL LINQ mod. LNQ11</t>
  </si>
  <si>
    <t>CONTRATTO PONTE PER LA FORNITURA DI LOOP RECORDER. BIOMONITOR 3</t>
  </si>
  <si>
    <t>32000,00</t>
  </si>
  <si>
    <t>PROROGA DELLA FORNITURA DI PROTESI VASCOLARI IN PTFE 'PROPATEN' INDICATE PER LO SHUNT PEDIATRICO PER LE ESIGENZE DELLA U.O. CHIRURGIA VASCOLARE DELL'AOUBO</t>
  </si>
  <si>
    <t>22615,00</t>
  </si>
  <si>
    <t>AVEC PROROGA TECNICA SERVICI ANALISI ELETTROFORETICHE</t>
  </si>
  <si>
    <t>Sebia Italia srl</t>
  </si>
  <si>
    <t>31884449,00</t>
  </si>
  <si>
    <t>28278689,00</t>
  </si>
  <si>
    <t>3605760,00</t>
  </si>
  <si>
    <t>RINNOVO CONTRATTUALMENTE PREVISTO PER LA FORNITURA DI REAGENTI PER LA DIAGNOSTICA MOLECOLARE DI LEUCEMIE ACUTE E CRONICHE PER IL LABORATORIO DI EMATOLOGIA</t>
  </si>
  <si>
    <t>20385,84</t>
  </si>
  <si>
    <t>AVEC PROROGA TECNICA SERVICE INDAGINI IMMUNOEMATOLOGICHE</t>
  </si>
  <si>
    <t>13466742,92</t>
  </si>
  <si>
    <t>13407866,00</t>
  </si>
  <si>
    <t>25001,46</t>
  </si>
  <si>
    <t>33875,46</t>
  </si>
  <si>
    <t>RINNOVO CONTRATTUALMENTE PREVISTO PER LA FORNITURA DI REAGENTI PER LA DIAGNOSTICA MOLECOLARE DI LEUCEMIE ACUTE E CRONICHE PER IL LABORATORIO DI EMATOLOGIA.</t>
  </si>
  <si>
    <t>8920,32</t>
  </si>
  <si>
    <t>11090,40</t>
  </si>
  <si>
    <t>18117,50</t>
  </si>
  <si>
    <t>BIOCLARMA SRL</t>
  </si>
  <si>
    <t>66937,50</t>
  </si>
  <si>
    <t>40128,00</t>
  </si>
  <si>
    <t>AVEC RINNOVO SERVICE RACCOLA E LAVORAZIONE SANGUE EMOCOMPONENTI PER I SIMT</t>
  </si>
  <si>
    <t>MACO PHARMA ITALIA SRL</t>
  </si>
  <si>
    <t>612016,00</t>
  </si>
  <si>
    <t>409319,00</t>
  </si>
  <si>
    <t>5981,00</t>
  </si>
  <si>
    <t>196716,00</t>
  </si>
  <si>
    <t>FRESENIUS KABI ITALIA SRL CON UNICO SOCIO</t>
  </si>
  <si>
    <t>FORNITURA DI MICROINFUSORI OMNIPOD E PATCH PUMP MONOUSO PER LE ESIGENZE DELLE AZIENDE USL DI BOLOGNA ED IMOLA</t>
  </si>
  <si>
    <t>THERAS LIFETECH SRL</t>
  </si>
  <si>
    <t>177255,00</t>
  </si>
  <si>
    <t>166850,00</t>
  </si>
  <si>
    <t>10405,00</t>
  </si>
  <si>
    <t>FORNITURA DI MATERIALE DI CONSUMO PER IL ROBOT â€œDA VINCI XI IS4000 INTUITIVE INTERSURGICALâ€</t>
  </si>
  <si>
    <t>STUDIO PACINOTTI SRL</t>
  </si>
  <si>
    <t>2000000,00</t>
  </si>
  <si>
    <t>FORNITURA DI MATERIALE DI CONSUMO PER IL SISTEMA PER IDENTIFICAZIONE DELLE LESIONI NON PALPABILI DEL CARCINOMA MAMMARIO SYSMEX SENTIMAG</t>
  </si>
  <si>
    <t>Partec Italia</t>
  </si>
  <si>
    <t>109930,62</t>
  </si>
  <si>
    <t>Servizio di realizzazione ed allestimento spazi espositivi AOU BO</t>
  </si>
  <si>
    <t>Felsinea PubblicitÃ  srl</t>
  </si>
  <si>
    <t>210000,00</t>
  </si>
  <si>
    <t xml:space="preserve">RINNOVO SERVICE SISTEMA ANALITICO TIPIZZAZIONE GENOMICA SISTEMA HLA CLASSE I E II </t>
  </si>
  <si>
    <t>355176,44</t>
  </si>
  <si>
    <t xml:space="preserve">INTEGRAZIONE COAGULOMETRI PER POLO CTV </t>
  </si>
  <si>
    <t>68300,00</t>
  </si>
  <si>
    <t>RINNOVO DIAGNOSTICA DIFFERNZIALE LOTTO 1</t>
  </si>
  <si>
    <t>1617956,08</t>
  </si>
  <si>
    <t>343125,00</t>
  </si>
  <si>
    <t>1222331,08</t>
  </si>
  <si>
    <t>52500,00</t>
  </si>
  <si>
    <t>RINNOVO SISTEMI DIAGNOSTICA DIFFERENZIALE LOTTO 2</t>
  </si>
  <si>
    <t>959420,00</t>
  </si>
  <si>
    <t>Fornitura quadriennale in service di sistemi per la somministrazione di nutrizione enterale neonatale linea viol</t>
  </si>
  <si>
    <t>Cair Italia</t>
  </si>
  <si>
    <t>364187,40</t>
  </si>
  <si>
    <t>88284,00</t>
  </si>
  <si>
    <t>205837,40</t>
  </si>
  <si>
    <t>2192,00</t>
  </si>
  <si>
    <t>67874,00</t>
  </si>
  <si>
    <t xml:space="preserve">RINNOVO SERVICE SISTEMA ANALISI MUTAZIONALE </t>
  </si>
  <si>
    <t>67487,05</t>
  </si>
  <si>
    <t>RINNOVO SERVICE SISTEMI ELETTROCHIRURGICI PER IOR</t>
  </si>
  <si>
    <t>97260,00</t>
  </si>
  <si>
    <t>Rinnovo per la fornitura in service sistemi monitoraggio emodinamico per Sale Operatorie e Terapie Intensive AOUBO - Lotto 1</t>
  </si>
  <si>
    <t>Edwards Lifesciences Italia Srl</t>
  </si>
  <si>
    <t>436240,00</t>
  </si>
  <si>
    <t>Rinnovo per la fornitura in service sistemi monitoraggio emodinamico per Sale Operatorie e Terapie Intensive AOUBO - Lotto 2</t>
  </si>
  <si>
    <t>Vygon Italia S.r.l.</t>
  </si>
  <si>
    <t>315000,00</t>
  </si>
  <si>
    <t>AOUBO - Proroga affidamento servizio di trasporto/recapito buste guthrie-card per screening neonatale</t>
  </si>
  <si>
    <t>TRA.SER. SRL</t>
  </si>
  <si>
    <t>60000,00</t>
  </si>
  <si>
    <t>AUOBO - Esito Procedura Aperta per la fornitura in service di un sistema di crioablazione per trattamento fibrillazione atriale per AOUBO</t>
  </si>
  <si>
    <t>599328,00</t>
  </si>
  <si>
    <t>AUSLBO-AUOBO-AUSL IMOLA - Affidamento diretto fornitura triennale in service trattamenti dialitici HDF MIXED</t>
  </si>
  <si>
    <t>FRESENIUS Medical Care Italia S.p.A.</t>
  </si>
  <si>
    <t>383692,86</t>
  </si>
  <si>
    <t>110592,00</t>
  </si>
  <si>
    <t>132096,06</t>
  </si>
  <si>
    <t>141004,80</t>
  </si>
  <si>
    <t>AUSLBO-AUSL IMOLA-AUSL FERRARA Contratto ponte fornitura in service prodotti nutrizione enterale e relative apparecchiature</t>
  </si>
  <si>
    <t>SAPIO LIFE S.R.L.</t>
  </si>
  <si>
    <t>936098,13</t>
  </si>
  <si>
    <t>575055,10</t>
  </si>
  <si>
    <t>174897,20</t>
  </si>
  <si>
    <t>186145,83</t>
  </si>
  <si>
    <t>AUSLBO-AOUBO Rinnovo contratto fornitura in service sistemi litotrissia intravascolare coronarico e periferico e relativo materiale di consumo</t>
  </si>
  <si>
    <t>225700,00</t>
  </si>
  <si>
    <t>67710,00</t>
  </si>
  <si>
    <t>157990,00</t>
  </si>
  <si>
    <t>AUOBO- Esito RDO fornitura in service divisa in lotti per sistemi cross-linking e relativo materiale di consumo per Chirugia Oftalmica LOTTO 1</t>
  </si>
  <si>
    <t>FIDIA FARMACEUTICI s.p.a.</t>
  </si>
  <si>
    <t>44220,00</t>
  </si>
  <si>
    <t>AUOBO- Esito RDO fornitura in service divisa in lotti per sistemi cross-linking e relativo materiale di consumo per Chirugia Oftalmica LOTTO 2</t>
  </si>
  <si>
    <t>OFTALMEDICA S.R.L.</t>
  </si>
  <si>
    <t>55200,00</t>
  </si>
  <si>
    <t>PA fornitura sistema innovativo per i percorsi ambulatoriali dell'AOU di Bologna</t>
  </si>
  <si>
    <t>Engineering Ingegneria Informatica S.p.A.</t>
  </si>
  <si>
    <t>196910,00</t>
  </si>
  <si>
    <t>Fornitura dispositivi di protezione per pazienti Avec</t>
  </si>
  <si>
    <t>SERVIZI OSPEDALIERI S.P.A.</t>
  </si>
  <si>
    <t>6245,00</t>
  </si>
  <si>
    <t>3193,00</t>
  </si>
  <si>
    <t>1082,00</t>
  </si>
  <si>
    <t>712,00</t>
  </si>
  <si>
    <t>1258,00</t>
  </si>
  <si>
    <t>Fornitura occhiali anti x Avec</t>
  </si>
  <si>
    <t>CLINI-LAB S.R.L.</t>
  </si>
  <si>
    <t>23354,24</t>
  </si>
  <si>
    <t>9492,00</t>
  </si>
  <si>
    <t>7504,00</t>
  </si>
  <si>
    <t>683,20</t>
  </si>
  <si>
    <t>968,80</t>
  </si>
  <si>
    <t>703,36</t>
  </si>
  <si>
    <t>4002,88</t>
  </si>
  <si>
    <t>Fornitura telini anti x Avec</t>
  </si>
  <si>
    <t xml:space="preserve">MICROTEK ITALY S.R.L. </t>
  </si>
  <si>
    <t>521,16</t>
  </si>
  <si>
    <t>226,59</t>
  </si>
  <si>
    <t>67,98</t>
  </si>
  <si>
    <t xml:space="preserve">PA fornitura microscopi con PNRR - PNC per AOU di Bologna lotto 1    </t>
  </si>
  <si>
    <t>FEI ITALIA SRL</t>
  </si>
  <si>
    <t>640000,00</t>
  </si>
  <si>
    <t xml:space="preserve">PA fornitura di microscopi con PNRR - PNC per AOU di Bologna lotto 3  </t>
  </si>
  <si>
    <t>Nikon Europe B.V.</t>
  </si>
  <si>
    <t>627000,00</t>
  </si>
  <si>
    <t xml:space="preserve"> 	RINNOVO ANNUO Materiale per tromboelatografi</t>
  </si>
  <si>
    <t>HAEMONETICS ITALIA srl</t>
  </si>
  <si>
    <t>44496,76</t>
  </si>
  <si>
    <t xml:space="preserve">RINNOVO Dispositivi per stomia in esclusiva </t>
  </si>
  <si>
    <t>Coloplast</t>
  </si>
  <si>
    <t>1129650,00</t>
  </si>
  <si>
    <t>450000,00</t>
  </si>
  <si>
    <t>95000,00</t>
  </si>
  <si>
    <t>180000,00</t>
  </si>
  <si>
    <t>400000,00</t>
  </si>
  <si>
    <t>4650,00</t>
  </si>
  <si>
    <t>Coloplast spa</t>
  </si>
  <si>
    <t xml:space="preserve">RINNOVO Dispisitivi per stomia in esclusiva </t>
  </si>
  <si>
    <t>Hollister S.p.A.</t>
  </si>
  <si>
    <t>601000,00</t>
  </si>
  <si>
    <t>22000,00</t>
  </si>
  <si>
    <t>81000,00</t>
  </si>
  <si>
    <t>270000,00</t>
  </si>
  <si>
    <t>LOTTO9 Medicazione avanzata 2 in concorrenza CONTR.PONTE</t>
  </si>
  <si>
    <t>3M Italia SRL</t>
  </si>
  <si>
    <t>89049,11</t>
  </si>
  <si>
    <t>51279,16</t>
  </si>
  <si>
    <t>27220,00</t>
  </si>
  <si>
    <t>3638,83</t>
  </si>
  <si>
    <t>6911,12</t>
  </si>
  <si>
    <t>lotti 2+3 Medicazione avanzata 2 in concorrenza CONTR.PONTE</t>
  </si>
  <si>
    <t>58962,31</t>
  </si>
  <si>
    <t>34945,19</t>
  </si>
  <si>
    <t>21631,70</t>
  </si>
  <si>
    <t>764,76</t>
  </si>
  <si>
    <t>1620,66</t>
  </si>
  <si>
    <t>LOTTIi 1+5 Medicazione avanzata 2 in concorrenza CONTR.PONTE</t>
  </si>
  <si>
    <t>ConvaTec Italia Srl</t>
  </si>
  <si>
    <t>7543,40</t>
  </si>
  <si>
    <t>1208,66</t>
  </si>
  <si>
    <t>501,41</t>
  </si>
  <si>
    <t>5833,33</t>
  </si>
  <si>
    <t>LOTTI 7+8 Medicazione avanzata 2 in concorrenza CONTR.PONTE</t>
  </si>
  <si>
    <t>Dealfa srl</t>
  </si>
  <si>
    <t>113342,24</t>
  </si>
  <si>
    <t>64598,33</t>
  </si>
  <si>
    <t>30742,91</t>
  </si>
  <si>
    <t>2140,00</t>
  </si>
  <si>
    <t>15861,00</t>
  </si>
  <si>
    <t xml:space="preserve"> 	Medicazione avanzata 2 in concorrenza CONTR.PONTE</t>
  </si>
  <si>
    <t>40759,05</t>
  </si>
  <si>
    <t>3483,45</t>
  </si>
  <si>
    <t>29957,96</t>
  </si>
  <si>
    <t>7117,92</t>
  </si>
  <si>
    <t>199,72</t>
  </si>
  <si>
    <t>356500,00</t>
  </si>
  <si>
    <t>35000,00</t>
  </si>
  <si>
    <t>19500,00</t>
  </si>
  <si>
    <t>240000,00</t>
  </si>
  <si>
    <t>12000,00</t>
  </si>
  <si>
    <t>RINNOVO Mat.consumo x sterilizzatrici STERIS</t>
  </si>
  <si>
    <t>Cantel Medical (Italy) S.r.l. a socio unico</t>
  </si>
  <si>
    <t>256319,10</t>
  </si>
  <si>
    <t>90147,50</t>
  </si>
  <si>
    <t>142519,80</t>
  </si>
  <si>
    <t>2116,80</t>
  </si>
  <si>
    <t>21535,00</t>
  </si>
  <si>
    <t>materiale di consumo dedicato per sequenziatori modelli NEXTSEQ500 e NOVASEQ6000</t>
  </si>
  <si>
    <t>150000,00</t>
  </si>
  <si>
    <t>strumentario chirurgico specifico per chirugia vascolare tipo SCANLAN</t>
  </si>
  <si>
    <t>Assut Europe S. p. A.</t>
  </si>
  <si>
    <t>135445,63</t>
  </si>
  <si>
    <t xml:space="preserve"> 	rinnovo LIQUIDI CONSERVAZIONE CORNEE </t>
  </si>
  <si>
    <t>LYNX SRL</t>
  </si>
  <si>
    <t>225360,84</t>
  </si>
  <si>
    <t>201222,00</t>
  </si>
  <si>
    <t>24138,84</t>
  </si>
  <si>
    <t xml:space="preserve">RINNOVO ALIMENTI DIETETICI  	LOTTO 1 </t>
  </si>
  <si>
    <t>CHIESI ITALIA SPA</t>
  </si>
  <si>
    <t>8355,38</t>
  </si>
  <si>
    <t>6131,60</t>
  </si>
  <si>
    <t>927,50</t>
  </si>
  <si>
    <t>1296,28</t>
  </si>
  <si>
    <t xml:space="preserve"> RINNOVO ALIMENTI DIETETICI LOTTO 2</t>
  </si>
  <si>
    <t>NESTLE' ITALIANA</t>
  </si>
  <si>
    <t>31066,30</t>
  </si>
  <si>
    <t>27325,30</t>
  </si>
  <si>
    <t>3741,00</t>
  </si>
  <si>
    <t xml:space="preserve">RINNOVO ALIMENTI DIETETICI </t>
  </si>
  <si>
    <t>DOMPE' S.P.A.</t>
  </si>
  <si>
    <t>4902,35</t>
  </si>
  <si>
    <t>3649,80</t>
  </si>
  <si>
    <t>16,59</t>
  </si>
  <si>
    <t>995,40</t>
  </si>
  <si>
    <t>240,56</t>
  </si>
  <si>
    <t xml:space="preserve">RINNOVO ALIMENTI DIETETICI  	LOTTO 4 </t>
  </si>
  <si>
    <t>Neupharma Srl</t>
  </si>
  <si>
    <t>42537,28</t>
  </si>
  <si>
    <t>28317,60</t>
  </si>
  <si>
    <t>5446,88</t>
  </si>
  <si>
    <t>8772,80</t>
  </si>
  <si>
    <t>RINNOVO ALIMENTI DIETETICI LOTTO 5</t>
  </si>
  <si>
    <t>OFTAL 3 ITALIA S.R.L.</t>
  </si>
  <si>
    <t>10220,76</t>
  </si>
  <si>
    <t>7515,59</t>
  </si>
  <si>
    <t>1963,43</t>
  </si>
  <si>
    <t>242,16</t>
  </si>
  <si>
    <t>499,58</t>
  </si>
  <si>
    <t>RINNOVO ALIMENTI DIETETICI  	LOTTO 6</t>
  </si>
  <si>
    <t>FOODAR ADVANCED RESEARCH SRL</t>
  </si>
  <si>
    <t>3002,60</t>
  </si>
  <si>
    <t>1267,20</t>
  </si>
  <si>
    <t>1173,80</t>
  </si>
  <si>
    <t>561,60</t>
  </si>
  <si>
    <t>mat di consumo SEQUENZIAMENTO</t>
  </si>
  <si>
    <t>Life Technologies Italia Fil. Life Technologies Europe B.V.</t>
  </si>
  <si>
    <t>276566,38</t>
  </si>
  <si>
    <t>RINNOVO Suturatrici meccaniche endoscopiche e relative ricariche</t>
  </si>
  <si>
    <t>340800,00</t>
  </si>
  <si>
    <t>170400,00</t>
  </si>
  <si>
    <t xml:space="preserve"> RINNOVO Endoprotesi E-VITA OPEN CMD ed OPEN PLUS </t>
  </si>
  <si>
    <t>jOTEC SRL</t>
  </si>
  <si>
    <t>86832,00</t>
  </si>
  <si>
    <t>RINNOVO valvole polmonari transcatetere Melody e di sistemi di inserimento Ensemble</t>
  </si>
  <si>
    <t>234000,00</t>
  </si>
  <si>
    <t xml:space="preserve"> DM MONOUSO A MARCHIO MORIA</t>
  </si>
  <si>
    <t>EMMECI 4 SRL</t>
  </si>
  <si>
    <t>310614,00</t>
  </si>
  <si>
    <t>MATERIALE DI CONSUMO DEDICATO PER SISTEMI DI CIRCOLAZIONE EXTRACORPOREA</t>
  </si>
  <si>
    <t>SORIN GROUP ITALIA SRL</t>
  </si>
  <si>
    <t>Rinnovo Materiale di consumo per microinfusori</t>
  </si>
  <si>
    <t>1244785,08</t>
  </si>
  <si>
    <t>778663,18</t>
  </si>
  <si>
    <t>234636,80</t>
  </si>
  <si>
    <t>224644,50</t>
  </si>
  <si>
    <t>6840,60</t>
  </si>
  <si>
    <t>450920,11</t>
  </si>
  <si>
    <t>181597,24</t>
  </si>
  <si>
    <t>57546,43</t>
  </si>
  <si>
    <t>211176,44</t>
  </si>
  <si>
    <t>600,00</t>
  </si>
  <si>
    <t>35400,00</t>
  </si>
  <si>
    <t>29500,00</t>
  </si>
  <si>
    <t>5900,00</t>
  </si>
  <si>
    <t>PA FORNITURA SISTEMA MONITORAGGIO</t>
  </si>
  <si>
    <t>NIHON KOHDEN ITALIA SRL con Socio Unico</t>
  </si>
  <si>
    <t>598546,90</t>
  </si>
  <si>
    <t>FORNITURA N. 12 SISTEMI AUDIO VIDEO</t>
  </si>
  <si>
    <t>Altamed SRL</t>
  </si>
  <si>
    <t>1049423,00</t>
  </si>
  <si>
    <t>Endoprotesi ed endoprotesi custom made Proroga</t>
  </si>
  <si>
    <t>17915,06</t>
  </si>
  <si>
    <t>1397667,12</t>
  </si>
  <si>
    <t>76475,00</t>
  </si>
  <si>
    <t>1247884,62</t>
  </si>
  <si>
    <t>73307,50</t>
  </si>
  <si>
    <t>187508,00</t>
  </si>
  <si>
    <t>183424,67</t>
  </si>
  <si>
    <t>4083,33</t>
  </si>
  <si>
    <t>302465,06</t>
  </si>
  <si>
    <t>28408,33</t>
  </si>
  <si>
    <t>222956,73</t>
  </si>
  <si>
    <t>51100,00</t>
  </si>
  <si>
    <t>801171,09</t>
  </si>
  <si>
    <t>7781,67</t>
  </si>
  <si>
    <t>793389,42</t>
  </si>
  <si>
    <t>1205642,31</t>
  </si>
  <si>
    <t>22715,00</t>
  </si>
  <si>
    <t>1092067,31</t>
  </si>
  <si>
    <t>90860,00</t>
  </si>
  <si>
    <t>Sistemi per la misurazione della glicemia Dexcom G6 - Rinnovo</t>
  </si>
  <si>
    <t>1857397,11</t>
  </si>
  <si>
    <t>1422781,73</t>
  </si>
  <si>
    <t>434615,38</t>
  </si>
  <si>
    <t>Contratto ponte fornitura calzature professionali, sanitarie e sicurezza per Ausl Bo, Aou Bo, Ausl Imola, IOR</t>
  </si>
  <si>
    <t>58000,00</t>
  </si>
  <si>
    <t>24500,00</t>
  </si>
  <si>
    <t>17600,00</t>
  </si>
  <si>
    <t>5200,00</t>
  </si>
  <si>
    <t>10700,00</t>
  </si>
  <si>
    <t>Contratto ponte per fornitura accessori consumazione pasti a ridotto impatto ambientale per AUSL Bo, AOU Bo, AUSL Imola e IOR</t>
  </si>
  <si>
    <t>3.M.C.</t>
  </si>
  <si>
    <t>RTI 3MC - La Casalinda</t>
  </si>
  <si>
    <t>La Casalinda srl</t>
  </si>
  <si>
    <t>275576,00</t>
  </si>
  <si>
    <t>78690,00</t>
  </si>
  <si>
    <t>165000,00</t>
  </si>
  <si>
    <t>11886,00</t>
  </si>
  <si>
    <t>Proroga tecnica servizio accompagnamento e trasporto pazienti per Ospedale AUSL Imola nelle more conclusione gara</t>
  </si>
  <si>
    <t>217250,00</t>
  </si>
  <si>
    <t>Rinnovo service sistema di drenaggio toracico portatile a secco</t>
  </si>
  <si>
    <t>MEDELA ITALIA SRL</t>
  </si>
  <si>
    <t>11889,07</t>
  </si>
  <si>
    <t xml:space="preserve">FORNITURA IN SERVICE DI APPARECCHIATURE PER LA DISINFEZIONE RIFIUTI UMANI PER AUSLIMOLA </t>
  </si>
  <si>
    <t>STEELCO SPA</t>
  </si>
  <si>
    <t>682400,00</t>
  </si>
  <si>
    <t>Contratto ponte relativo a fornitura di toner originali ASLBO, AOUBO e Ausl Imola</t>
  </si>
  <si>
    <t>ERREBIAN S.P.A.</t>
  </si>
  <si>
    <t>Servizio di rassegna stampa e rassegna audio/video per le Aziende AVEC</t>
  </si>
  <si>
    <t>Telpress Italia S.r.l.</t>
  </si>
  <si>
    <t>P.A.PROTESI ODONTOIATRICHE MOBILI E FISSE E MATERIALE IMPLANTOLOGICO</t>
  </si>
  <si>
    <t>NETQUADRO RETE D'IMPRESE</t>
  </si>
  <si>
    <t>HIGH DENTAL TECHNOLOGY SRL</t>
  </si>
  <si>
    <t>WILOCS S.R.L.</t>
  </si>
  <si>
    <t>R.T.I. cost.endo - WILOCS S.R.L. - CENTRO ODONTOIATRICO DENTAL GAIA SRL</t>
  </si>
  <si>
    <t>CENTRO ODONTOIATRICO DENTAL GAIA SRL</t>
  </si>
  <si>
    <t>PA PI 27980-23 - Servizio per la realizzazione di audiovideo e servizi fotografici per AUSL BO, AOU BO e IOR</t>
  </si>
  <si>
    <t>OPENLAB SRL</t>
  </si>
  <si>
    <t>341100,00</t>
  </si>
  <si>
    <t>162300,00</t>
  </si>
  <si>
    <t>109600,00</t>
  </si>
  <si>
    <t>69200,00</t>
  </si>
  <si>
    <t>Bucaneve srls</t>
  </si>
  <si>
    <t>Eventi e cultura di Angelo Sgalambro</t>
  </si>
  <si>
    <t>Jera Srl</t>
  </si>
  <si>
    <t>Lapresse SpA</t>
  </si>
  <si>
    <t>Media Evolution srl</t>
  </si>
  <si>
    <t>Pirene srl</t>
  </si>
  <si>
    <t>Alfea Cinematografica societÃ  cooperativa</t>
  </si>
  <si>
    <t>R.T.I. cost.endo - Alfea Cinematografica societÃ  cooperativa - Moonscape srl</t>
  </si>
  <si>
    <t>Moonscape srl</t>
  </si>
  <si>
    <t>CATETERI VENOSI ED ARTERIOSI CENTRALI E PERIFERICI PROROGA</t>
  </si>
  <si>
    <t>116075,00</t>
  </si>
  <si>
    <t>27500,00</t>
  </si>
  <si>
    <t>12500,00</t>
  </si>
  <si>
    <t>24175,00</t>
  </si>
  <si>
    <t>16900,00</t>
  </si>
  <si>
    <t>62136,07</t>
  </si>
  <si>
    <t>8200,00</t>
  </si>
  <si>
    <t>15000,00</t>
  </si>
  <si>
    <t>5100,00</t>
  </si>
  <si>
    <t>24000,00</t>
  </si>
  <si>
    <t>PRAESIDIA SRL</t>
  </si>
  <si>
    <t>195085,48</t>
  </si>
  <si>
    <t>80000,00</t>
  </si>
  <si>
    <t>65000,00</t>
  </si>
  <si>
    <t>5824,00</t>
  </si>
  <si>
    <t>21311,48</t>
  </si>
  <si>
    <t>1100,00</t>
  </si>
  <si>
    <t>21850,00</t>
  </si>
  <si>
    <t>SMITHS MEDICAL ITALIA S.r.l.</t>
  </si>
  <si>
    <t>12119,67</t>
  </si>
  <si>
    <t>2000,00</t>
  </si>
  <si>
    <t>3300,00</t>
  </si>
  <si>
    <t>819,67</t>
  </si>
  <si>
    <t>1000,00</t>
  </si>
  <si>
    <t>297972,05</t>
  </si>
  <si>
    <t>101500,00</t>
  </si>
  <si>
    <t>110000,00</t>
  </si>
  <si>
    <t>14195,00</t>
  </si>
  <si>
    <t>7377,05</t>
  </si>
  <si>
    <t>9700,00</t>
  </si>
  <si>
    <t>135132,79</t>
  </si>
  <si>
    <t>11600,00</t>
  </si>
  <si>
    <t>18032,79</t>
  </si>
  <si>
    <t>8700,00</t>
  </si>
  <si>
    <t>1800,00</t>
  </si>
  <si>
    <t>21919,67</t>
  </si>
  <si>
    <t>10000,00</t>
  </si>
  <si>
    <t>8000,00</t>
  </si>
  <si>
    <t>300,00</t>
  </si>
  <si>
    <t>2800,00</t>
  </si>
  <si>
    <t>FORNITURA MATERIALE DI CONSUMO PLURIUSO PER APPARECCHIATURE PHILIPS</t>
  </si>
  <si>
    <t>MEDITRON SRL</t>
  </si>
  <si>
    <t>300500,00</t>
  </si>
  <si>
    <t>AOUBO PA AFFIDAMENTO SERVIZIO TRASPORTO BUSTE GUTHRIENCARD SCREENING NEONATALE</t>
  </si>
  <si>
    <t>521675,20</t>
  </si>
  <si>
    <t>FORNITURA BIENNALE,SUDDIVISA IN LOTTI, DI ELETTROCATETERI PER ELETTROFISIOLOGIA. LOTTO 1</t>
  </si>
  <si>
    <t>FORNITURA BIENNALE,SUDDIVISA IN LOTTI, DI ELETTROCATETERI PER ELETTROFISIOLOGIA. LOTTO 2</t>
  </si>
  <si>
    <t>FORNITURA BIENNALE,SUDDIVISA IN LOTTI, DI ELETTROCATETERI PER ELETTROFISIOLOGIA. LOTTO 4</t>
  </si>
  <si>
    <t>FORNITURA BIENNALE,SUDDIVISA IN LOTTI, DI ELETTROCATETERI PER ELETTROFISIOLOGIA. LOTTO 5</t>
  </si>
  <si>
    <t>FORNITURA BIENNALE,SUDDIVISA IN LOTTI, DI ELETTROCATETERI PER ELETTROFISIOLOGIA. LOTTO 6</t>
  </si>
  <si>
    <t>FORNITURA BIENNALE,SUDDIVISA IN LOTTI, DI ELETTROCATETERI PER ELETTROFISIOLOGIA. LOTTO 7</t>
  </si>
  <si>
    <t>FORNITURA BIENNALE,SUDDIVISA IN LOTTI, DI ELETTROCATETERI PER ELETTROFISIOLOGIA. LOTTO 8</t>
  </si>
  <si>
    <t>FORNITURA BIENNALE,SUDDIVISA IN LOTTI, DI ELETTROCATETERI PER ELETTROFISIOLOGIA. LOTTO 9</t>
  </si>
  <si>
    <t>FORNITURA BIENNALE,SUDDIVISA IN LOTTI, DI ELETTROCATETERI PER ELETTROFISIOLOGIA. LOTTO 10</t>
  </si>
  <si>
    <t>FORNITURA BIENNALE,SUDDIVISA IN LOTTI, DI ELETTROCATETERI PER ELETTROFISIOLOGIA. LOTTO 11</t>
  </si>
  <si>
    <t>FORNITURA BIENNALE,SUDDIVISA IN LOTTI, DI ELETTROCATETERI PER ELETTROFISIOLOGIA. LOTTO 12</t>
  </si>
  <si>
    <t>FORNITURA BIENNALE,SUDDIVISA IN LOTTI, DI ELETTROCATETERI PER ELETTROFISIOLOGIA. LOTTO 13</t>
  </si>
  <si>
    <t>FORNITURA BIENNALE,SUDDIVISA IN LOTTI, DI ELETTROCATETERI PER ELETTROFISIOLOGIA. LOTTOM 14</t>
  </si>
  <si>
    <t>FORNITURA BIENNALE,SUDDIVISA IN LOTTI, DI ELETTROCATETERI PER ELETTROFISIOLOGIA. LOTTO 15</t>
  </si>
  <si>
    <t>FORNITURA BIENNALE,SUDDIVISA IN LOTTI, DI ELETTROCATETERI PER ELETTROFISIOLOGIA. LOTTO 16</t>
  </si>
  <si>
    <t>FORNITURA BIENNALE,SUDDIVISA IN LOTTI, DI ELETTROCATETERI PER ELETTROFISIOLOGIA. LOTTO 17</t>
  </si>
  <si>
    <t>FORNITURA BIENNALE,SUDDIVISA IN LOTTI, DI ELETTROCATETERI PER ELETTROFISIOLOGIA. LOTTO 18</t>
  </si>
  <si>
    <t>FORNITURA BIENNALE,SUDDIVISA IN LOTTI, DI ELETTROCATETERI PER ELETTROFISIOLOGIA</t>
  </si>
  <si>
    <t>FORNITURA BIENNALE,SUDDIVISA IN LOTTI, DI ELETTROCATETERI PER ELETTROFISIOLOGIA. LOTTO 20</t>
  </si>
  <si>
    <t>FORNITURA BIENNALE,SUDDIVISA IN LOTTI, DI ELETTROCATETERI PER ELETTROFISIOLOGIA. LOTTO 22</t>
  </si>
  <si>
    <t>FORNITURA DI IMPIANTI COCLEARI E PROTESI ACUSTICHE A CONDUZIONE OSSEA</t>
  </si>
  <si>
    <t>Cochlear Italia srl</t>
  </si>
  <si>
    <t>160393,00</t>
  </si>
  <si>
    <t>MED-EL ELEKTROMEDIZINISCHE GERAETE GMBH UNITÃ€ LOCALE ITALIANA</t>
  </si>
  <si>
    <t>47800,00</t>
  </si>
  <si>
    <t>Servizio di sterilizzazione strum.chirurgico AOU BO</t>
  </si>
  <si>
    <t>STERITALIA SPA</t>
  </si>
  <si>
    <t>1634250,00</t>
  </si>
  <si>
    <t>DIP.TECNICO-PATRIMONIALE-ADT</t>
  </si>
  <si>
    <t>Affidamento Coordinatore sicurezza fase esecutiva Centrale Operativa Territoriale Distretto Pianura Ovest - San Giovanni in Persiceto - Manutenzione straordinaria</t>
  </si>
  <si>
    <t>LabÂ SocietÂ di ingegneria e architettura</t>
  </si>
  <si>
    <t>815,27</t>
  </si>
  <si>
    <t>Studio Tecnico Luciano Carrozzo</t>
  </si>
  <si>
    <t>Affidamento PNRR Coordinatore Sicurezza in fase esecutiva - Casa della ComunitÂ di Calderara di Reno (BO) -Ristrutturazione con ampliamento</t>
  </si>
  <si>
    <t>3589,46</t>
  </si>
  <si>
    <t>Affidamento  PNRR Coordinatore Sicurezza in fase esecutiva Centrale -Casa della ComunitÂ di Crevalcore -Ristrutturazione con ampliamento (BO)</t>
  </si>
  <si>
    <t>5710,15</t>
  </si>
  <si>
    <t>Affidamento PNRR Coordinatore Sicurezza in fase esecutiva Casa della ComunitÂ di Zola Predosa (BO)- Ristrutturazione edilizia</t>
  </si>
  <si>
    <t>9845,93</t>
  </si>
  <si>
    <t>Affidamento PNRR Coordinatore Sicurezza in fase esecutiva Casa della ComunitÂ di Baricella (BO) -Manutenzione straordinaria</t>
  </si>
  <si>
    <t>10153,16</t>
  </si>
  <si>
    <t>Affidamento PNRR Coordinatore Sicurezza in fase esecutiva Casa della ComunitÂ di Bologna (Mengoli) -Manutenzione straordinaria</t>
  </si>
  <si>
    <t>Ing. Martin Piccini</t>
  </si>
  <si>
    <t>7718,95</t>
  </si>
  <si>
    <t>Ing. Vecchi di DOING Studio tecnico</t>
  </si>
  <si>
    <t>Affidamento PNRR Coordinatore Sicurezza in fase esecutiva Casa della ComunitÂ di Bologna (Pilastro) -Ristrutturazione con ampliamento</t>
  </si>
  <si>
    <t>10162,60</t>
  </si>
  <si>
    <t>Affidamento PNRR Coordinatore Sicurezza in fase esecutiva 3)	Centrale Operativa Territoriale Unica Metropolitana (CUM) - Ospedale Maggiore di Bologna . Manutenzione straordinaria</t>
  </si>
  <si>
    <t>8293,21</t>
  </si>
  <si>
    <t>Affidamento PNRR Coordinatore Sicurezza in fase esecutiva Casa della ComunitÂ di Castiglione dei Pepoli (BO) Ampliamento</t>
  </si>
  <si>
    <t>4614,05</t>
  </si>
  <si>
    <t>Affidamento PNRR Coordinatore Sicurezza in fase esecutiva Casa della ComunitÂ di Sasso Marconi (BO) -Ampliamento</t>
  </si>
  <si>
    <t>6004,55</t>
  </si>
  <si>
    <t>Acquisto 7 cassette per estintore + 7 serrature unificate e 8 cassette porta chiavi per le esigenze del Poliambulatorio S. Camillo e Sert di S. Lazzaro di Savena (Bo)</t>
  </si>
  <si>
    <t>Oxa</t>
  </si>
  <si>
    <t>924,13</t>
  </si>
  <si>
    <t>Opere accessorie di completamento dell'impianto di captazione scariche atmosferiche</t>
  </si>
  <si>
    <t>Consorzio Innova Soc. Coop.</t>
  </si>
  <si>
    <t>RTI Consorzio Stabile CMF e Consorzio Innova</t>
  </si>
  <si>
    <t>Consorzio Stabile CMF</t>
  </si>
  <si>
    <t>36119,24</t>
  </si>
  <si>
    <t>PNRR M6 C1 . 1.1 . C.d.C. S. Giovanni in Persiceto (Bo) . Affidamento attivit? di supporto alla verifica preventiva della progettazione delle opere edili (escluse strutture).</t>
  </si>
  <si>
    <t>STEP ENGINEERING SRL</t>
  </si>
  <si>
    <t>RTI Ballardini - Sangiorgi - Step - BIMODE - Geoprobe - Santini - Casadiio - Palerma</t>
  </si>
  <si>
    <t>Studio Tecnico Associato Bimode</t>
  </si>
  <si>
    <t>Ing. Roberto Ballardini</t>
  </si>
  <si>
    <t>Alice Sangiorgi</t>
  </si>
  <si>
    <t>GEO-PROBE Studio Geologico Associato</t>
  </si>
  <si>
    <t>Benedetti e Santini studio Tecnico</t>
  </si>
  <si>
    <t>Ing. Elena Casadio</t>
  </si>
  <si>
    <t>Studio Tecnico Andrea Palerma</t>
  </si>
  <si>
    <t>2311,80</t>
  </si>
  <si>
    <t>2471,07</t>
  </si>
  <si>
    <t>PNRR - Ospedale di  Comunit? S. Giovanni in Persiceto (Bo) . Nuova costruzione con demolizione - Affidamento incarico di attivit? di supporto alla verifica preventiva della progettazione delle opere edili (escluse strutture)</t>
  </si>
  <si>
    <t>Procedura per affidamento dell. incarico di CSP ed CSE nell'ambito dei lavori di rifacimento porzioni di pavimentazione stradale in asfalto nelle aree stradali e di sosta interne OSP. MAGGIORE</t>
  </si>
  <si>
    <t>ECO-TER Servizi integrati per l'ecologia ed il territorio srl</t>
  </si>
  <si>
    <t>4899,04</t>
  </si>
  <si>
    <t>Affidamento di fornitura e posa in opera di sopralzi per davanzali da installare presso poliambulatorio di Via Montebello</t>
  </si>
  <si>
    <t xml:space="preserve">METALCO SRL </t>
  </si>
  <si>
    <t>26939,60</t>
  </si>
  <si>
    <t>PNRR allestimento Centrale Operativa Territoriale Distretto Reno Lavino Samoggia â€“ Casalecchio di Reno â€“ PI026498-23</t>
  </si>
  <si>
    <t>INGROS</t>
  </si>
  <si>
    <t>3801,00</t>
  </si>
  <si>
    <t>Interventi di ristrutturazione porzione di Padiglione A per laboratorio analisi  presso l'Ospedale Bellaria</t>
  </si>
  <si>
    <t>Gemmo spa</t>
  </si>
  <si>
    <t>RTI Gemmo - Cear - Faenza</t>
  </si>
  <si>
    <t>CEAR SOC.COOP.CONS</t>
  </si>
  <si>
    <t>FAENZA Costruzioni srl</t>
  </si>
  <si>
    <t>339656,30</t>
  </si>
  <si>
    <t>Richiesta conferma offerta per la fornitura di portone sezionale con pannellature in lamiera stirata, in sostituzione del portone basculante in grigliato presente presso la casa della ComunitÂ di Bologna (Bo) via D. Svampa n. 8</t>
  </si>
  <si>
    <t>QUATTROMATIC AUTOMAZIONI</t>
  </si>
  <si>
    <t>14505,00</t>
  </si>
  <si>
    <t>PA21/20 Acc. Quadro Arch. Ing. - PNRR OsCo Loiano (Bo) - ODP  30 affidamento incarico attivitÂ di supporto verifica progettazione opere impianti meccanici</t>
  </si>
  <si>
    <t>1541,20</t>
  </si>
  <si>
    <t>PA21/20 Acc. Quadro arch. e ing. - PNRR Osco S. Pietro in Casale - ODP 31/23 affidamento incarico attivitÂ di supporto di verifica progettazione opere meccaniche</t>
  </si>
  <si>
    <t>PA21/20 Acc. Quadro Ing. e Arch. - ODP 32/23 Osco Bazzano affidamento incarico attivitÂ di supporto verifica della progettazione opere meccaniche PNRR</t>
  </si>
  <si>
    <t>PA21/20 Acc. Quadro arch. e ing. - ODP 33/23 CDC Molinella PNRR - Affidamento incarico attivitÂ di supporto verifica progettazione opere meccaniche</t>
  </si>
  <si>
    <t>3082,40</t>
  </si>
  <si>
    <t>pa 21/20 Acc. Quadro arch. e ing. - ODP 34/23 CDC Bazzano PNRR - Affidamento incarico attivitÂ di supporto verifica progettazione opere meccaniche</t>
  </si>
  <si>
    <t>PA 21/20 - ODP 35/2023 - Affidamento incarico collaudo statico per gli interventi di ristrutturazione porzione padiglione A per laboratorio analisi e 1? piano pad. ingressi per realizzazione uffici amministrativi e direzionali presso l. Osp. Bellaria</t>
  </si>
  <si>
    <t>1839,51</t>
  </si>
  <si>
    <t>Fornitura e posa in opera di UPS da 20 kVA per le esigenze dell'Ospedale di Loiano (Bo)</t>
  </si>
  <si>
    <t>SICON S.R.L.</t>
  </si>
  <si>
    <t>7450,00</t>
  </si>
  <si>
    <t>Covid 19 Riorganizzazione rete ospedaliera ex art. 2 DL 34/20 - Intervento di ristrutturazione Monoblocco piano 13 Ala Lunga Ospedale maggiore per ricavare 36 posti - int. n. 53</t>
  </si>
  <si>
    <t>Arco Lavori</t>
  </si>
  <si>
    <t>2065592,15</t>
  </si>
  <si>
    <t>591510,51</t>
  </si>
  <si>
    <t>Affidamento incarico Direttore Operativo  Pad. A per laboratorio analisi e primo piano  Pad. ingressi Ospedale Bellaria di Bologna</t>
  </si>
  <si>
    <t>EN7 srl</t>
  </si>
  <si>
    <t>15329,99</t>
  </si>
  <si>
    <t>Affidamento incarico per sostituzione cupolette in policarbonato con griglia anticaduta presso poliambulatorio di Montebello</t>
  </si>
  <si>
    <t>Tecnocupole Pancaldi</t>
  </si>
  <si>
    <t>12524,00</t>
  </si>
  <si>
    <t>Affidamento servizio ripristino funzionamento ascensore Kone presso zona monumentale Roncati di Bologna</t>
  </si>
  <si>
    <t>KONE S.P.A.</t>
  </si>
  <si>
    <t>15471,00</t>
  </si>
  <si>
    <t>Asseverazione per il rinnovo del certificato di prevenzione incendi per la Casa della Salute di Crevalcore</t>
  </si>
  <si>
    <t>Paolo Trapella</t>
  </si>
  <si>
    <t>700,00</t>
  </si>
  <si>
    <t>748,16</t>
  </si>
  <si>
    <t>Pubblicazione su GURI esito gara PA 94.2022 Accordi quadro lavori</t>
  </si>
  <si>
    <t>Istituto Poligrafico e Zecca dello Stato spa</t>
  </si>
  <si>
    <t>740,00</t>
  </si>
  <si>
    <t>726,53</t>
  </si>
  <si>
    <t>Realizzazione di parapetti permanenti in alluminio conformi NTC 2018 per le esigenze dell'Ospedale di Bazzano</t>
  </si>
  <si>
    <t>BRT SYSTEM SRL</t>
  </si>
  <si>
    <t>21700,00</t>
  </si>
  <si>
    <t>18445,00</t>
  </si>
  <si>
    <t>Fornitura energia elettrica acquisita mediante servizio di salvaguardia</t>
  </si>
  <si>
    <t>A2A Energia</t>
  </si>
  <si>
    <t>950000,00</t>
  </si>
  <si>
    <t>797089,96</t>
  </si>
  <si>
    <t>Affidamento ulteriore prova geotecnica per progettazione interventi del PNRR - Ospedale di Comunit? di Bazzano</t>
  </si>
  <si>
    <t>Geotea Srl</t>
  </si>
  <si>
    <t>2938,08</t>
  </si>
  <si>
    <t>2936,72</t>
  </si>
  <si>
    <t>Servizio di riprogrammazione per guasto e sostituzione/installazione del nuovo PC di gestione dell'impianto a chiamata presso Hospice/RSA di casalecchio di Reno</t>
  </si>
  <si>
    <t>NUOVE TECNOLOGIE S.R.L.</t>
  </si>
  <si>
    <t>10930,00</t>
  </si>
  <si>
    <t>11193,00</t>
  </si>
  <si>
    <t>Ordinativo fornitura Convenzione Intercenter - PNRR LOTTO 4 - Affidamento servizi di Direzione lavori e coordinamento sicurezza in fase di esecuzione per Ospedale ComunitÂ Bologna (Pad. Palagi)</t>
  </si>
  <si>
    <t>Marco Rizzoli</t>
  </si>
  <si>
    <t>RTP Rizzoli Stiem FM Cavarocchi</t>
  </si>
  <si>
    <t>04-CAPOGRUPPO</t>
  </si>
  <si>
    <t>Stiem Engineering</t>
  </si>
  <si>
    <t>03-ASSOCIATA</t>
  </si>
  <si>
    <t>Piero Cavarocchi</t>
  </si>
  <si>
    <t>F&amp;M ingegneria</t>
  </si>
  <si>
    <t>105087,98</t>
  </si>
  <si>
    <t>Affidamento dell.incarico di CSE nell.ambito dei lavori di bonifica amianto pavimentazione e successivo rifacimento pavimentazione presso Pad.E piano terra dell.Ospedale Bellaria di Bologna</t>
  </si>
  <si>
    <t>Geom. Palmioli Gilberto</t>
  </si>
  <si>
    <t>873,23</t>
  </si>
  <si>
    <t>919,12</t>
  </si>
  <si>
    <t>Ordinativo fornitura convenzione Intercenter - PNRR LOTTO 5 - Affidamento direzione lavori e coordinamento sicurezza fase esecutiva della Casa di ComunitÂ di Molinella</t>
  </si>
  <si>
    <t>AMGA ENERGIA SERVIZI SRL</t>
  </si>
  <si>
    <t>254216,00</t>
  </si>
  <si>
    <t>PNRR progetto esecutivo e lavori di realizzazione di ospedale di ComunitÂ di Bologna Padiglione Palagi del Policlinico di Sant'Orsola</t>
  </si>
  <si>
    <t>1317262,85</t>
  </si>
  <si>
    <t>PNRR M6 C.1 - CDC BOLOGNA (SAVENA - S. STEFANO) NUOVA COSTRUZIONE - AFFIDAMENTO PROGETTAZIONE ESECUTIVA E LAVORI INVITALIA</t>
  </si>
  <si>
    <t>FERRARO SPA</t>
  </si>
  <si>
    <t>RTI Ferraro Consorzio Stabile Imprese Padovane</t>
  </si>
  <si>
    <t>Consorzio stabile Imprese Padovane</t>
  </si>
  <si>
    <t>7393188,44</t>
  </si>
  <si>
    <t>35142,44</t>
  </si>
  <si>
    <t>PNRR M6C1 -1.1 - CASA DELLA COMUNITA' DI SAN GIOVANNI IN PERSICETO - NUOVA COSTRUZIONE CON DEMOLIZIONE</t>
  </si>
  <si>
    <t>1681505,06</t>
  </si>
  <si>
    <t>PNRR M6 - NUOVA COSTRUZIONE CON DEMOLIZIONE OSPEDALE DI COMUNITA' S. GIOVANNI IN PERSICETO - AFFIDAMENTO PROGETTAZIONE ESECUTIVA E LAVORI APPALTO INTEGRATO INVITALIA</t>
  </si>
  <si>
    <t>2184320,80</t>
  </si>
  <si>
    <t>PNRR M6 - AMPLIAMENTO CASA DELLA COMUNITA' DI VERGATO - AFFIDAMENTO LAVORI INVITALIA</t>
  </si>
  <si>
    <t>Ati Clea SC e Ranzato Impianti Srl</t>
  </si>
  <si>
    <t>284208,36</t>
  </si>
  <si>
    <t>PNRR M6 - AMPLIAMENTO CASA DELLA COMUNITA' S. LAZZARO DI SAVENA - AFFIDAMENTO LAVORI INVITALIA</t>
  </si>
  <si>
    <t>CONSCOOP</t>
  </si>
  <si>
    <t>947039,12</t>
  </si>
  <si>
    <t>PNRR M6C1 - 1.1 CASA DELLA COMUNITÂ DI BARICELLA - Manutenzione straordinaria - Lavori AQ1</t>
  </si>
  <si>
    <t>299927,95</t>
  </si>
  <si>
    <t>Ordinativo fornitura Convenzione Intercenter - PNRR LOTTO 3 - Affidamento servizi di Direzione lavori e coordinamento sicurezza in fase di esecuzione Casa della ComunitÂ di S. Giovanni in Persiceto - nuova costruzione con demolizione</t>
  </si>
  <si>
    <t>SD Partners</t>
  </si>
  <si>
    <t>RTI SIPAL SD Partners Nier Ingegneria</t>
  </si>
  <si>
    <t>Nier Ingegneria</t>
  </si>
  <si>
    <t>SIPAL SPA</t>
  </si>
  <si>
    <t>109169,78</t>
  </si>
  <si>
    <t>Ordinativo fornitura Convenzione Intercenter - PNRR LOTTO 3 - Affidamento servizi di Direzione lavori e coordinamento sicurezza in fase di esecuzione Ospedale di ComunitÂ di San Giovanni in Persiceto - nuova costruzione con demolizione</t>
  </si>
  <si>
    <t>142211,83</t>
  </si>
  <si>
    <t>PNRR progetto esecutivo e lavori di realizzazione Casa della ComunitÂ di Bazzano ampliamento</t>
  </si>
  <si>
    <t>COBAR SPA</t>
  </si>
  <si>
    <t>1840353,86</t>
  </si>
  <si>
    <t>Ordinativo di fornitura Convenzione Intercenter - PNRR LOTTO 6 Affidamento servizi di direzione lavori e coordinamento sicurezza fase esecutiva Casa della ComunitÂ di Bazzano ampliamento</t>
  </si>
  <si>
    <t>150182,63</t>
  </si>
  <si>
    <t>PNRR progetto esecutivo e lavori Casa della ComunitÂ di Molinella. Nuova costruzione</t>
  </si>
  <si>
    <t>Impresa Pizzarotti</t>
  </si>
  <si>
    <t>5763016,34</t>
  </si>
  <si>
    <t>Lavori di realizzazione Casa della Salute di San Lazzaro di Savena APC27</t>
  </si>
  <si>
    <t>2805428,30</t>
  </si>
  <si>
    <t>PNRR  M6 C1 - 1.1. Lavori di realizzazione Casa della ComunitÂ Bologna Via Mengoli</t>
  </si>
  <si>
    <t>Quadra Costruzioni srl</t>
  </si>
  <si>
    <t>RTI QUADRA COSTRUZIONI - CONS. ARTEMIDE</t>
  </si>
  <si>
    <t>Consorzio Artemide</t>
  </si>
  <si>
    <t>273062,58</t>
  </si>
  <si>
    <t>Realizzazione Centro ambulatoriale e uffici presso l'Ospedale di Vergato APC 24</t>
  </si>
  <si>
    <t>700359,69</t>
  </si>
  <si>
    <t>Progetto esecutivo e lavori di realizzazione di Ospedale di ComunitÂ di Bazzano- Ristrutturazione edilizia con miglioramento sismico</t>
  </si>
  <si>
    <t>2503835,91</t>
  </si>
  <si>
    <t>Ordinativo di fornitura Intercenter - PNRR LOTTO 6 - Affidamento direzioni lavori e coordinamento sicurezza in fase di esecuzione Ospedale di ComunitÂ di Bazzano - ristrutturazione edilizia con miglioramento sismico</t>
  </si>
  <si>
    <t>177461,82</t>
  </si>
  <si>
    <t>PNRR - CDC Pilastro - ristrutturazione con ampliamento - approvazione progetto esecutivo ed adesione accordo quadro Invitalia</t>
  </si>
  <si>
    <t>382042,60</t>
  </si>
  <si>
    <t>PNRR - M6C1 - 1.3. Lavori di realizzazione OSCO San Pietro in Casale</t>
  </si>
  <si>
    <t>2099385,45</t>
  </si>
  <si>
    <t>PNRR OSCO Loiano - ristrutturazione edilizia - approvazione progetto definitivo ed adesione accordo quadro invitalia</t>
  </si>
  <si>
    <t>1675904,48</t>
  </si>
  <si>
    <t>PNC - M6 - C2 - INV 1.2. Ospedale Bellaria - Padiglione C - Restauro con miglioramento sismico</t>
  </si>
  <si>
    <t>ATI OPERES S.R.L. E AR.CO. LAVORI SOC.COOP.CONS</t>
  </si>
  <si>
    <t>OPERES S.R.L.</t>
  </si>
  <si>
    <t>7426252,58</t>
  </si>
  <si>
    <t>Adesione a convenzione Intercenter Gas naturale 19-2, erogazione di gas naturale per le Aziende Sanitarie della regione Emilia Romagna</t>
  </si>
  <si>
    <t>HERA SPA</t>
  </si>
  <si>
    <t>1469596,33</t>
  </si>
  <si>
    <t>PNRR M6 C1 1.1 Casa della ComunitÂ di Sasso Marconi - Ampliamento</t>
  </si>
  <si>
    <t>C.I.M.S.</t>
  </si>
  <si>
    <t>RTI CIMS e F.lli Franchini</t>
  </si>
  <si>
    <t>Franchini Antonio e Figli srl</t>
  </si>
  <si>
    <t>167138,58</t>
  </si>
  <si>
    <t>Interventi di manutenzione generali presso l'Area spogliatoi dell'Ospedale di Bentivoglio.</t>
  </si>
  <si>
    <t>439115,04</t>
  </si>
  <si>
    <t>PNRR M6 C1 1.1 - Casa della ComunitÂ di Bologna (Colombi) - ristrutturazione edilizia - approvazione progetto esecutivo</t>
  </si>
  <si>
    <t>112120,40</t>
  </si>
  <si>
    <t>PNRR - M6 C1 1.1 - Casa della ComunitÂ di Calderara - Ristrutturazione con ampliamento - approvazione progetti esecutivi</t>
  </si>
  <si>
    <t>72950,47</t>
  </si>
  <si>
    <t>PNRR M6 C1 - 1.1 - Affidamento lavori ampliamento Casa della ComunitÂ Castiglione dei Pepoli</t>
  </si>
  <si>
    <t>117147,96</t>
  </si>
  <si>
    <t>Rimozione pavimentazione vinilica e collante contenente amianto e rifacimento nuova pavimentazione presso locali L108-L109-L112 dell'Ospedale Bellaria</t>
  </si>
  <si>
    <t>23400,86</t>
  </si>
  <si>
    <t>Ordinativo di fornitura Convenzione Intercenter - PNRR LOTTO 7 Affidamento servizi di direzione lavori e coordinamento sicurezza fase esecutiva Ospedale della ComunitÂ di Loiano - Ristrutturazione edilizia</t>
  </si>
  <si>
    <t>Friedrich Drollmann</t>
  </si>
  <si>
    <t>RTI 3TI MAIN Management Seingim Global Service Drollman</t>
  </si>
  <si>
    <t>MAIN</t>
  </si>
  <si>
    <t>SEINGIM Global Service</t>
  </si>
  <si>
    <t>126952,65</t>
  </si>
  <si>
    <t>Ordinativo di fornitura Convenzione Intercenter - PNRR M6 C1 -1.1 Affidamento servizi di direzione lavori e coordinamento sicurezza fase esecutiva Casa della ComunitÂ di Castenaso</t>
  </si>
  <si>
    <t>53941,92</t>
  </si>
  <si>
    <t>Ordinativo fornitura Convenzione Intercenter - PNRR LOTTO 4 - Affidamento servizi di Direzione lavori e coordinamento sicurezza in fase di esecuzione lavori realizzazione della Casa della ComunitÂ di Bologna (Savena - S. Stefano)</t>
  </si>
  <si>
    <t>418653,71</t>
  </si>
  <si>
    <t>PNRR - Casa della ComunitÂ di Sasso Marconi - Ampliamento - allacciamento rete TIM</t>
  </si>
  <si>
    <t>Telecom Italia</t>
  </si>
  <si>
    <t>87,59</t>
  </si>
  <si>
    <t>Aggiornamento professionale intervento lavori di riparazione con rafforzamento locale del fabbricato ad uso polifunzionale Poliambulatorio Villa San Camillo in San Lazzaro di Savena</t>
  </si>
  <si>
    <t>Enrico Montevecchi</t>
  </si>
  <si>
    <t>10048,75</t>
  </si>
  <si>
    <t>Fornitura di una ricetrasmittente SL2600 per sistemi cercapersone per le esigenze dell'Ospedale Maggiore di Bologna</t>
  </si>
  <si>
    <t>TECNEL COMMUNICATION</t>
  </si>
  <si>
    <t>587,00</t>
  </si>
  <si>
    <t>Servizio di assistenza tecnica in abbonamento per mesi dodici di sistemi cercapersone esistenti Informo IP per i presidi di Budrio, Bentivoglio, San Giovanni in P. e Bazzano</t>
  </si>
  <si>
    <t>4550,00</t>
  </si>
  <si>
    <t>Affidamento prestazioni di Coordinatore della Sicurezza in fase di progettazione dei lavori di bonifica amianto pavimentazione dell.Ospedale Bellaria di Bologna (Bo) . ad integrazione dell'incarico di CSE ZBE3A6C641</t>
  </si>
  <si>
    <t>610,22</t>
  </si>
  <si>
    <t>642,72</t>
  </si>
  <si>
    <t>Adesione convenzione Avec fornitura annuale di materiale di ferramenta per le aziende sanitarie dell'area vasta Emilia Centrale- Azienda Usl di Bologna</t>
  </si>
  <si>
    <t>Servizio di noleggio di un gruppo frigo unitario per la mensa dell' Ospedale Maggiore di Bologna per 14 settimane</t>
  </si>
  <si>
    <t>TRANE ITALIA S.R.L</t>
  </si>
  <si>
    <t>26402,00</t>
  </si>
  <si>
    <t>PNRR Verifiche di progettazione per le opere strutturali per la Casa della Comunit? di Bologna (Pilastro)</t>
  </si>
  <si>
    <t>Studio-EN</t>
  </si>
  <si>
    <t>1099,60</t>
  </si>
  <si>
    <t>1175,25</t>
  </si>
  <si>
    <t>Appalto lavori rifacimento asfalto aree stradali e sosta interne (tratto tra ingresso 1 e centrale operativa 118 ed. 1 e ridosso deposito ambulanze ed. G) Ospedale Maggiore Bologna</t>
  </si>
  <si>
    <t>Cooperativa Trasporti Imola scrl</t>
  </si>
  <si>
    <t>85362,71</t>
  </si>
  <si>
    <t>Servizio di prestazioni integrative extracanone per adeguamento impianto trasporto pneumatico modello Oppent OP T3 ISO 160</t>
  </si>
  <si>
    <t>Oppent S.p.A.</t>
  </si>
  <si>
    <t>6200,00</t>
  </si>
  <si>
    <t>Nuovo allacciamento alla rete gas , presso la Casa di ComunitÂ di San Lazzaro di Savena</t>
  </si>
  <si>
    <t>In Rete Disribuzione Energia S.p.A</t>
  </si>
  <si>
    <t>13300,83</t>
  </si>
  <si>
    <t>Affidamento della fornitura e posa in opera di carpenteria metallica per il supporto dell.unitÂ esterna dell.impianto VRV a servizio dell.intervento eseguito nell.ambito del PNRR presso la casa della ComunitÂ di ComunitÂ di Via Mengoli</t>
  </si>
  <si>
    <t>Olvi</t>
  </si>
  <si>
    <t>26240,00</t>
  </si>
  <si>
    <t>Centrale Operativa Territoriale Unica Metropolitana (CUM) - Ospedale Maggiore di Bologna - Manutenzione Straordinaria</t>
  </si>
  <si>
    <t>705192,48</t>
  </si>
  <si>
    <t>Affidamento fornitura e posa in opera Gruppo Statico di ContinuitÂ (UPS) per nuovi ambulatori chirurgici Corpo D Ospedale Maggiore</t>
  </si>
  <si>
    <t>16400,00</t>
  </si>
  <si>
    <t>fornitura e posa in opera di n. 03 Gruppi Statici di ContinuitÂ (UPS) da 06 kVA 1/1 autonomia 10 minuti, per le esigenze della centrale telefonica posta al piano base del monoblocco Ed. H dell. presso l.Ospedale Maggiore di Bologna (Bo)</t>
  </si>
  <si>
    <t>5350,00</t>
  </si>
  <si>
    <t>Ordinativo di fornitura Convenzione Intercenter - PNRR LOTTO 7 Affidamento servizi di direzione lavori e coordinamento sicurezza fase esecutiva per Ospedale di ComunitÂ di San Pietro in Casale</t>
  </si>
  <si>
    <t>152365,63</t>
  </si>
  <si>
    <t>PNRR Verifiche di progettazione strutturale di opere inerenti i lavori dell'Ospedale di ComunitÂ di Loiano</t>
  </si>
  <si>
    <t>2738,95</t>
  </si>
  <si>
    <t>Verifiche archeologiche per interventi da eseguirsi presso Palazzo de' Banchi</t>
  </si>
  <si>
    <t>Tecne Srl</t>
  </si>
  <si>
    <t>Realizzazione di opere accessorie per l'installazione di acceleratore lineare robotizzato cyberknife" presso l.ospedale bellaria di bologna"</t>
  </si>
  <si>
    <t>156942,11</t>
  </si>
  <si>
    <t>Affidamento dell.incarico di CSE nell.ambito dei lavori di raffrescamento porzione edificio C e tinta uffici al p.2 Ospedale Maggiore + lavori Pad. E p.1 Pad. A p.1 dell.Ospedale Bellaria propedeutici al trasferimento degli ambulatori del Pad.C</t>
  </si>
  <si>
    <t>3884,44</t>
  </si>
  <si>
    <t>4082,67</t>
  </si>
  <si>
    <t>lettera di invito alla procedura per l'affidamento del servizio di progettazione esecutiva per l'installazione di un acceleratore lineare .Cyberknife. presso i locali del Padiglione H, piano terra, dell.Ospedale Bellaria</t>
  </si>
  <si>
    <t>Ing. Barbara Brandi</t>
  </si>
  <si>
    <t>16000,03</t>
  </si>
  <si>
    <t>DIP.FARMACEUTICO-FAC</t>
  </si>
  <si>
    <t>ACQUISTO DISPOSITIVI MEDICI</t>
  </si>
  <si>
    <t>6000,00</t>
  </si>
  <si>
    <t>5280,00</t>
  </si>
  <si>
    <t>DIP.TECNICO-PATRIMONIALE-ICL</t>
  </si>
  <si>
    <t>ASSISTENZA TECNICA 2023 DITTA NIKON</t>
  </si>
  <si>
    <t>2497,02</t>
  </si>
  <si>
    <t>ACQUISTO PROTESI</t>
  </si>
  <si>
    <t>TRX ITALY S.R.L.</t>
  </si>
  <si>
    <t>ACQUISTO FARMACI</t>
  </si>
  <si>
    <t>OTTOPHARMA S.R.L</t>
  </si>
  <si>
    <t>5991,30</t>
  </si>
  <si>
    <t>AUROBINDO PHARMA ITALIA SRL</t>
  </si>
  <si>
    <t>2874,06</t>
  </si>
  <si>
    <t>ASSISTENZA TECNICA 2023 DITTA DIAPATH</t>
  </si>
  <si>
    <t>DIAPATH S.p.A.</t>
  </si>
  <si>
    <t>1050,00</t>
  </si>
  <si>
    <t>ACQUISTO DIAGNOSTICI</t>
  </si>
  <si>
    <t>PIKDARE S.P.A.</t>
  </si>
  <si>
    <t>5187,50</t>
  </si>
  <si>
    <t>ASSISTENZA TECNICA 2023 DITTA ASTIDENTAL</t>
  </si>
  <si>
    <t>ASTIDENTAL di Sabbione SPA</t>
  </si>
  <si>
    <t>14116,02</t>
  </si>
  <si>
    <t>ASSISTENZA TECNICA 2023 DITTA STEELCO</t>
  </si>
  <si>
    <t>STEELCO SERVICE SRL</t>
  </si>
  <si>
    <t>12761,15</t>
  </si>
  <si>
    <t>ASSISTENZA TECNICA 2023 DITTA SEDA</t>
  </si>
  <si>
    <t>2210,00</t>
  </si>
  <si>
    <t>ASSISTENZA TECNICA 2023 DITTA BIOTEC SANITA</t>
  </si>
  <si>
    <t>BIOTEC SANITÃ€ S.R.L</t>
  </si>
  <si>
    <t>3727,00</t>
  </si>
  <si>
    <t>ASSISTENZA TECNICA 2023 DITTA BIOTEC EUKON</t>
  </si>
  <si>
    <t>Next Medical s.r.l.</t>
  </si>
  <si>
    <t>Vigeo S.r.l.</t>
  </si>
  <si>
    <t>5880,50</t>
  </si>
  <si>
    <t>Med Italia</t>
  </si>
  <si>
    <t>DETE.3102/2022 CONSIP ADESIONE PER ACQUISTO TONER STAMPANTI HP LASER 408DN</t>
  </si>
  <si>
    <t>INFORDATA S.P.A.</t>
  </si>
  <si>
    <t>24975,00</t>
  </si>
  <si>
    <t>DETE.2551/2022 Consip adesione a convenzione Reti locali 7 -programma investimenti intervento M6C2 1.1.1. (Digitalizzazione DEA  I e II livello)</t>
  </si>
  <si>
    <t>Converge Spa</t>
  </si>
  <si>
    <t>1436919,78</t>
  </si>
  <si>
    <t>7061,31</t>
  </si>
  <si>
    <t>3D SYSTEM SRL</t>
  </si>
  <si>
    <t>5626,75</t>
  </si>
  <si>
    <t>ASSISTENZA TECNICA 2023 DITTA MALVESTIO</t>
  </si>
  <si>
    <t>Malvestio S.p.a.</t>
  </si>
  <si>
    <t>13482,45</t>
  </si>
  <si>
    <t>ASSISTENZA TECNICA 2023 DITTA TEKLIFE MEDICAL</t>
  </si>
  <si>
    <t>TEKLIFE MEDICAL Srl</t>
  </si>
  <si>
    <t>9206,23</t>
  </si>
  <si>
    <t>ASSISTENZA TECNICA 2023 DITTA S.L.T.</t>
  </si>
  <si>
    <t>SLT S.R.L.</t>
  </si>
  <si>
    <t>670,80</t>
  </si>
  <si>
    <t>ZACCANTI SPA CON SOCIO UNICO</t>
  </si>
  <si>
    <t>5890,65</t>
  </si>
  <si>
    <t>ASSISTENZA TECNICA 2023 DITTA MORTARA INSTRUMENT EUROPE</t>
  </si>
  <si>
    <t>MORTARA INSTRUMENT EUROPE SRLC/DED MOD.1</t>
  </si>
  <si>
    <t>8170,44</t>
  </si>
  <si>
    <t>ECONOMATO-LOGISTICA-ECO</t>
  </si>
  <si>
    <t>ACQUISTO MATERIALE VARIO DI CANCELLERIA</t>
  </si>
  <si>
    <t>4999,00</t>
  </si>
  <si>
    <t>591,08</t>
  </si>
  <si>
    <t>MASCIA BRUNELLI S.P.A.</t>
  </si>
  <si>
    <t>DISPOSITIVI MEDICI</t>
  </si>
  <si>
    <t>Aptiva Medical Srl</t>
  </si>
  <si>
    <t>5800,00</t>
  </si>
  <si>
    <t>Ars Chirurgica</t>
  </si>
  <si>
    <t>5768,29</t>
  </si>
  <si>
    <t>5861,40</t>
  </si>
  <si>
    <t>4509,20</t>
  </si>
  <si>
    <t>6610,00</t>
  </si>
  <si>
    <t>ACQUISTO DIETETICI</t>
  </si>
  <si>
    <t>FARMACEUTICI DAMOR S.P.A.</t>
  </si>
  <si>
    <t>2443,64</t>
  </si>
  <si>
    <t>INTRAUMA SRL</t>
  </si>
  <si>
    <t>6746,00</t>
  </si>
  <si>
    <t>NUVASIVE ITALIA S.R.L.</t>
  </si>
  <si>
    <t>5930,00</t>
  </si>
  <si>
    <t>ZOGENIX S.R.L.</t>
  </si>
  <si>
    <t>919,67</t>
  </si>
  <si>
    <t>Acquisto mat. di consumo Catologo Komet</t>
  </si>
  <si>
    <t>GERHÃ’ S.p.A.</t>
  </si>
  <si>
    <t>3932,55</t>
  </si>
  <si>
    <t>EVOLUZIONI MEDICHE SRL</t>
  </si>
  <si>
    <t>6607,51</t>
  </si>
  <si>
    <t>Acquisto materiale Odontoiatrico Vario</t>
  </si>
  <si>
    <t>5027,59</t>
  </si>
  <si>
    <t>6052,23</t>
  </si>
  <si>
    <t>6905,88</t>
  </si>
  <si>
    <t>Acquisto borse porta emoderivati</t>
  </si>
  <si>
    <t>ASIA S.R.L.</t>
  </si>
  <si>
    <t>1011,85</t>
  </si>
  <si>
    <t>ASSISTENZA TECNICA 2023 DITTA MOLINARI ELETTROMEDICALI</t>
  </si>
  <si>
    <t>MOLINARI ELETTROMEDICALI SNC</t>
  </si>
  <si>
    <t>1840,00</t>
  </si>
  <si>
    <t>6550,00</t>
  </si>
  <si>
    <t>6416,40</t>
  </si>
  <si>
    <t>Stryker</t>
  </si>
  <si>
    <t>6352,50</t>
  </si>
  <si>
    <t>ASSISTENZA TECNICA 2023 DITTA ALNITEC</t>
  </si>
  <si>
    <t>ALNITEC S.R.L.</t>
  </si>
  <si>
    <t>734,50</t>
  </si>
  <si>
    <t>ASSISTENZA TECNICA 2023 DITTA DRAEGER MEDICAL ITALIA</t>
  </si>
  <si>
    <t>Draeger Italia S.p.A.</t>
  </si>
  <si>
    <t>21605,36</t>
  </si>
  <si>
    <t>Acquisto Prodotti Disinfettanti di Ortodonzia</t>
  </si>
  <si>
    <t>4937,17</t>
  </si>
  <si>
    <t>ACQUISTO SOTTO SOGLIA FARMACI</t>
  </si>
  <si>
    <t>TAKEDA ITALIA S.P.A.</t>
  </si>
  <si>
    <t>5782,32</t>
  </si>
  <si>
    <t>ASSISTENZA TECNICA 2023 DITTA ALEA</t>
  </si>
  <si>
    <t>ALEA DI DADONE SILVIO E C. S.A.S.</t>
  </si>
  <si>
    <t>201,00</t>
  </si>
  <si>
    <t>ASSISTENZA TECNICA 2023 DITTA POLYOFTALMICA</t>
  </si>
  <si>
    <t>POLYOFTALMICA NEW S.R.L.</t>
  </si>
  <si>
    <t>SARSTEDT S.R.L.</t>
  </si>
  <si>
    <t>DET.97/23-STENT VASCOLARI PERIFERICI Proroga tecnica</t>
  </si>
  <si>
    <t>19835,20</t>
  </si>
  <si>
    <t>ASSISTENZA TECNICA 2023 DITTA CEM ELETTROMEDICALI</t>
  </si>
  <si>
    <t>C.E.M.  SRL</t>
  </si>
  <si>
    <t>3294,00</t>
  </si>
  <si>
    <t>A.DE MORI S.P.A.</t>
  </si>
  <si>
    <t>6021,65</t>
  </si>
  <si>
    <t>ASSISTENZA TECNICA 2023 DITTA MOVI</t>
  </si>
  <si>
    <t>7809,24</t>
  </si>
  <si>
    <t>ASSISTENZA TECNICA 2023 DITTA BIO CLIMA SERVICE</t>
  </si>
  <si>
    <t>Bio Clima Service S.r.l.</t>
  </si>
  <si>
    <t>17549,35</t>
  </si>
  <si>
    <t>ADESIONE CONVENZIONE INTERCENT-ECOTOMOGRAFI 2-PER AUSLBO-LOTTO 1-DETERMINA N. 3 DEL 02/01/2023</t>
  </si>
  <si>
    <t>GE MEDICAL SYSTEMS ITALIA</t>
  </si>
  <si>
    <t>78389,00</t>
  </si>
  <si>
    <t>82869,00</t>
  </si>
  <si>
    <t>5913,10</t>
  </si>
  <si>
    <t>ACQUISTO MEDICINALI</t>
  </si>
  <si>
    <t>Teofarma s.r.l.</t>
  </si>
  <si>
    <t>5500,00</t>
  </si>
  <si>
    <t>ACQUISTO CONTENITORI PER OTTICHE E DISPOSITIVI MEDICI VARI</t>
  </si>
  <si>
    <t>Biocommerciale s.a.s.</t>
  </si>
  <si>
    <t>3141,05</t>
  </si>
  <si>
    <t>VWR International Srl</t>
  </si>
  <si>
    <t>5914,71</t>
  </si>
  <si>
    <t>ASSISTENZA TECNICA 2023 DITTA ALTAMED</t>
  </si>
  <si>
    <t>Trumpf Med Italia</t>
  </si>
  <si>
    <t>39000,00</t>
  </si>
  <si>
    <t>17139,78</t>
  </si>
  <si>
    <t>acquisto dispositivi medici</t>
  </si>
  <si>
    <t>Oftalmedica s.r.l.</t>
  </si>
  <si>
    <t>5841,69</t>
  </si>
  <si>
    <t>6793,99</t>
  </si>
  <si>
    <t>22-PROCEDURA NEGOZIATA CON PREVIA INDIZIONE DI GARA (SETTORI SPECIALI)</t>
  </si>
  <si>
    <t>ASSISTENZA TECNICA 2023 DITTA TECNOLIFE</t>
  </si>
  <si>
    <t>Tecnolife</t>
  </si>
  <si>
    <t>1622,45</t>
  </si>
  <si>
    <t>ASSISTENZA TECNICA 2023 DITTA DIMED</t>
  </si>
  <si>
    <t>ASSISTENZA TECNICA 2023 DITTA BC TRADE</t>
  </si>
  <si>
    <t>B.C.TRADE SRL</t>
  </si>
  <si>
    <t>1113,00</t>
  </si>
  <si>
    <t>ARISTO PHARMA ITALY SRL</t>
  </si>
  <si>
    <t>386,46</t>
  </si>
  <si>
    <t>Tristel Italia S.r.l.</t>
  </si>
  <si>
    <t>5670,00</t>
  </si>
  <si>
    <t>ASSISTENZA TECNICA 2023 DITTA M.B. DENTAL</t>
  </si>
  <si>
    <t>M.B. DENTAL s.n.c.</t>
  </si>
  <si>
    <t>18467,70</t>
  </si>
  <si>
    <t>ASSISTENZA TECNICA 2023 DITTA OMNIACELL TERTIA</t>
  </si>
  <si>
    <t>Omniacell Tertia Srl</t>
  </si>
  <si>
    <t>1206,50</t>
  </si>
  <si>
    <t>ASSISTENZA TECNICA 2023 DITTA RS COMPONENTS</t>
  </si>
  <si>
    <t>RS COMPONENTS SPA</t>
  </si>
  <si>
    <t>1075,35</t>
  </si>
  <si>
    <t>ACQUISTO CONTENITORI PER AGHI PER SALA OPERATORIA</t>
  </si>
  <si>
    <t>SIM ITALIA S.r.l.</t>
  </si>
  <si>
    <t>4938,84</t>
  </si>
  <si>
    <t>ASSISTENZA TECNICA 2023 DITTA SIM ITALIA</t>
  </si>
  <si>
    <t>ASSISTENZA TECNICA 2023 DITTA APPMED</t>
  </si>
  <si>
    <t>APPMED srl</t>
  </si>
  <si>
    <t>1838,30</t>
  </si>
  <si>
    <t>ASSISTENZA TECNICA 2023 DITTA GUIDO AMMIRATA</t>
  </si>
  <si>
    <t>GUIDO AMMIRATA SRL</t>
  </si>
  <si>
    <t>2394,00</t>
  </si>
  <si>
    <t>ASSISTENZA TECNICA 2023 DITTA ZACCANTI</t>
  </si>
  <si>
    <t>16380,09</t>
  </si>
  <si>
    <t>ASSISTENZA TECNICA 2023 DITTA FIMASMED</t>
  </si>
  <si>
    <t>Fimas srl</t>
  </si>
  <si>
    <t>1260,00</t>
  </si>
  <si>
    <t>ASSISTENZA TECNICA 2023 DITTA MEDITECK</t>
  </si>
  <si>
    <t>MEDITECK SRL</t>
  </si>
  <si>
    <t>12010,00</t>
  </si>
  <si>
    <t>ASSISTENZA TECNICA 2022 DITTA ALTHEA</t>
  </si>
  <si>
    <t>ALTHEA ITALIA S.p.A</t>
  </si>
  <si>
    <t>5617,00</t>
  </si>
  <si>
    <t>DETE.2901/2022 Acquisizione servizi personalizzazione, manutenzione, assistenza, help desk e formazione sw gestione vaccinazioni</t>
  </si>
  <si>
    <t>ONIT GROUP SRL</t>
  </si>
  <si>
    <t>173000,00</t>
  </si>
  <si>
    <t>22500,00</t>
  </si>
  <si>
    <t>ASSISTENZA TECNICA 2023 DITTA NATUS</t>
  </si>
  <si>
    <t>NATUS MEDICAL S.R.L.</t>
  </si>
  <si>
    <t>11238,00</t>
  </si>
  <si>
    <t>ASSISTENZA TECNICA 2023 DITTA LANZONI</t>
  </si>
  <si>
    <t>LANZONI S.r.l.</t>
  </si>
  <si>
    <t>1602,00</t>
  </si>
  <si>
    <t>ASSISTENZA TECNICA 2023 DITTA FRESENIUS KABI</t>
  </si>
  <si>
    <t>18343,00</t>
  </si>
  <si>
    <t>ACQUISTO DISPOSITIVI DI PROTEZIONE PER OCCHI</t>
  </si>
  <si>
    <t>ST PROTECT SPA</t>
  </si>
  <si>
    <t>2176,00</t>
  </si>
  <si>
    <t>PHARMAIDEA SRL</t>
  </si>
  <si>
    <t>1524,60</t>
  </si>
  <si>
    <t>STAGO ITALIA SRL</t>
  </si>
  <si>
    <t>2847,24</t>
  </si>
  <si>
    <t>DET. 84/2023 RINNOVO BIENNALE SISTEMI ELASTOMERICI</t>
  </si>
  <si>
    <t>TECNICA SCIENTIFICA srl</t>
  </si>
  <si>
    <t>31600,00</t>
  </si>
  <si>
    <t>2370,00</t>
  </si>
  <si>
    <t>TEVA ITALIA SRL</t>
  </si>
  <si>
    <t>3089,07</t>
  </si>
  <si>
    <t>MEDICA VALEGGIA S.P.A.(CONDO DEDICATO MOD.1)</t>
  </si>
  <si>
    <t>6122,84</t>
  </si>
  <si>
    <t>ASSISTENZA TECNICA 2023 DITTA KALTEK</t>
  </si>
  <si>
    <t>KALTEK SRL</t>
  </si>
  <si>
    <t>2453,50</t>
  </si>
  <si>
    <t>5985,00</t>
  </si>
  <si>
    <t>ASSISTENZA TECNICA 2023 DITTA 5.9</t>
  </si>
  <si>
    <t>5.9 SRL CARE WEIGHTING SYSTEM</t>
  </si>
  <si>
    <t>1179,38</t>
  </si>
  <si>
    <t>Lombarda H S.r.l.</t>
  </si>
  <si>
    <t>5995,20</t>
  </si>
  <si>
    <t>Flamor Srl</t>
  </si>
  <si>
    <t>1440,00</t>
  </si>
  <si>
    <t>Test cardiopolmonare per Cardiologia di Bentivoglio</t>
  </si>
  <si>
    <t>COSMED S.R.L.</t>
  </si>
  <si>
    <t>16920,00</t>
  </si>
  <si>
    <t>acquisto materassini ed altri ausili per posizionamento pazienti</t>
  </si>
  <si>
    <t>GIVAS S.R.L.</t>
  </si>
  <si>
    <t>640,70</t>
  </si>
  <si>
    <t>ASSISTENZA TECNICA 2023 DITTA STED</t>
  </si>
  <si>
    <t>STED Servizi e Tecnologie Elettromedicali S.r.l.</t>
  </si>
  <si>
    <t>3000,00</t>
  </si>
  <si>
    <t>1543,50</t>
  </si>
  <si>
    <t>Essity Italy S.p.A.</t>
  </si>
  <si>
    <t>6202,08</t>
  </si>
  <si>
    <t>DETE.3102/2022 CONSIP ADESIONE PER ACQUISTO NR. 500 STAMPANTI HP LASER 408DN</t>
  </si>
  <si>
    <t>35875,00</t>
  </si>
  <si>
    <t>ASSISTENZA TECNICA 2023 DITTA NORIS</t>
  </si>
  <si>
    <t>NORIS SRL</t>
  </si>
  <si>
    <t>2586,00</t>
  </si>
  <si>
    <t>Acquisto Pungitubo Pvc Universale e materiale di consumo per prelievo sangue</t>
  </si>
  <si>
    <t>ASTRA FORMEDIC SRL</t>
  </si>
  <si>
    <t>3731,20</t>
  </si>
  <si>
    <t>Cook Italia</t>
  </si>
  <si>
    <t>4190,00</t>
  </si>
  <si>
    <t>ASSISTENZA TECNICA 2023 DITTA GIVAS</t>
  </si>
  <si>
    <t>451,72</t>
  </si>
  <si>
    <t>ASSISTENZA TECNICA 2023 DITTA FORNASINI MAURO</t>
  </si>
  <si>
    <t>Fornasini Mauro srl</t>
  </si>
  <si>
    <t>8498,00</t>
  </si>
  <si>
    <t>INTERVENTI MANTENZIONE STRAORDIANRIE LAVAPADELLE STEELCO</t>
  </si>
  <si>
    <t>778,10</t>
  </si>
  <si>
    <t>Laboratori Baldacci S.P.A.</t>
  </si>
  <si>
    <t>422,41</t>
  </si>
  <si>
    <t>ACQUISTO TAMPONI COTONATI N/STERILI, LACCI PER EMOSTASI E ALTRI DISPOSITIVI</t>
  </si>
  <si>
    <t>252,00</t>
  </si>
  <si>
    <t>5676,00</t>
  </si>
  <si>
    <t>ASSISTENZA TECNICA 2023 DITTA M.T.V.</t>
  </si>
  <si>
    <t>M.T.V. MEDICAL SRLDED. 2</t>
  </si>
  <si>
    <t>2158,80</t>
  </si>
  <si>
    <t>Acquisto involucri per sterilizzazione</t>
  </si>
  <si>
    <t>I-TEMA S.r.l.</t>
  </si>
  <si>
    <t>4003,30</t>
  </si>
  <si>
    <t>DETE.3053/2022 FORNITURA IN NOLEGGIO STAMPANTI PER SPORTELLI CUP E ACCESSO DIRETTO INCLUSI I MATERIALI DI CONSUMO, MANUTENZIONE E ASSISTENZA FULL RISK</t>
  </si>
  <si>
    <t>Tecnolaser Europa Srl</t>
  </si>
  <si>
    <t>131018,79</t>
  </si>
  <si>
    <t>21836,46</t>
  </si>
  <si>
    <t>Zambon Italia</t>
  </si>
  <si>
    <t>5534,87</t>
  </si>
  <si>
    <t>Accessori Container e Materiale di consumo per sterilizzazione</t>
  </si>
  <si>
    <t>4805,23</t>
  </si>
  <si>
    <t>ASSISTENZA TECNICA 2023 DITTA SYNOPO</t>
  </si>
  <si>
    <t>SYNOPO S.R.L.</t>
  </si>
  <si>
    <t>439,00</t>
  </si>
  <si>
    <t>ASSISTENZA TECNICA 2023 DITTA DS MEDICA</t>
  </si>
  <si>
    <t>DS MEDICA S.R.L.</t>
  </si>
  <si>
    <t>2329,50</t>
  </si>
  <si>
    <t>DETE3102/2022 CONSIPADESIONE PER  ACQUISTO NR.1000 PC DESKTOP E MONITOR</t>
  </si>
  <si>
    <t>ITALWARE - S.R.L.</t>
  </si>
  <si>
    <t>497710,00</t>
  </si>
  <si>
    <t>199084,00</t>
  </si>
  <si>
    <t>Acquisto carta per sterilizzazione</t>
  </si>
  <si>
    <t>ID&amp;CO S.r.l.</t>
  </si>
  <si>
    <t>39496,82</t>
  </si>
  <si>
    <t>15019,07</t>
  </si>
  <si>
    <t>NUTRICIA ITALIA S.p.A</t>
  </si>
  <si>
    <t>2632,28</t>
  </si>
  <si>
    <t>ASSISTENZA TECNICA 2023 DITTA ALBATROS</t>
  </si>
  <si>
    <t>ALBATROS S.R.L.CONDO DED. MOD. 3</t>
  </si>
  <si>
    <t>8059,00</t>
  </si>
  <si>
    <t>ACQUISTO SCATOLE IMBALLAGGIO PER ARCHIVIO AUSL DI ANZOLA EMILIA</t>
  </si>
  <si>
    <t>LUGLI ENRICO SRL</t>
  </si>
  <si>
    <t>1323,34</t>
  </si>
  <si>
    <t>ASSISTENZA TECNICA 2023 DITTA VASSILLI</t>
  </si>
  <si>
    <t>VASSILLI SRL</t>
  </si>
  <si>
    <t>594,00</t>
  </si>
  <si>
    <t>ASSISTENZA TECNICA 2023 DITTA MEDTRONIC ITALIA</t>
  </si>
  <si>
    <t>ASSISTENZA TECNICA 2023 DITTA KV APPARECCHI SCIENTIFICI</t>
  </si>
  <si>
    <t>KW APPARECCHI SCIENTIFICI SRL</t>
  </si>
  <si>
    <t>6783,82</t>
  </si>
  <si>
    <t>ASSISTENZA TECNICA 2023 DITTA THERMO FISHER</t>
  </si>
  <si>
    <t>THERMO FISHER SCIENTIFIC SPADED. 1</t>
  </si>
  <si>
    <t>ACQUISTO DISPOSITIVI</t>
  </si>
  <si>
    <t>5840,00</t>
  </si>
  <si>
    <t>5963,70</t>
  </si>
  <si>
    <t>ACQUISTO MAT. CONSUMO PER ATTREZZATURE MINDRAY</t>
  </si>
  <si>
    <t>4765,82</t>
  </si>
  <si>
    <t>ASSISTENZA TECNICA 2023 DITTA LAERDAL</t>
  </si>
  <si>
    <t>LAERDAL MEDICAL ASSTABILE ORGANIZZAZIONE ITALIA</t>
  </si>
  <si>
    <t>644,80</t>
  </si>
  <si>
    <t>Anserisfarma srl</t>
  </si>
  <si>
    <t>2058,00</t>
  </si>
  <si>
    <t>L. MOLTENI &amp; C. DEI F.LLI ALITTI SOCIETA' DI ESERCIZIO S.P.A.</t>
  </si>
  <si>
    <t>4914,00</t>
  </si>
  <si>
    <t>ALFASIGMA SpA</t>
  </si>
  <si>
    <t>5374,04</t>
  </si>
  <si>
    <t>ALEA srl Medical &amp; Diagnostics Solutions</t>
  </si>
  <si>
    <t>142488,00</t>
  </si>
  <si>
    <t>19809,20</t>
  </si>
  <si>
    <t>186850,00</t>
  </si>
  <si>
    <t>15876,00</t>
  </si>
  <si>
    <t>Baxter</t>
  </si>
  <si>
    <t>85550,00</t>
  </si>
  <si>
    <t>11284,80</t>
  </si>
  <si>
    <t>FARMACIA TERNELLI DEL DOTT.  MAURIZIO</t>
  </si>
  <si>
    <t>543,25</t>
  </si>
  <si>
    <t>ACQUISTO DISPOSITIVI PER SCONGELATORE SACCHE PLASMA</t>
  </si>
  <si>
    <t>P.I.E.CO SRL</t>
  </si>
  <si>
    <t>442,50</t>
  </si>
  <si>
    <t>Voden Medical Instruments SpA</t>
  </si>
  <si>
    <t>5626,98</t>
  </si>
  <si>
    <t>SEAGEN BV</t>
  </si>
  <si>
    <t>5760,74</t>
  </si>
  <si>
    <t>5518,00</t>
  </si>
  <si>
    <t>ASSISTENZA TECNICA 2023 DITTA B BRAUN</t>
  </si>
  <si>
    <t>3759,98</t>
  </si>
  <si>
    <t>5506,50</t>
  </si>
  <si>
    <t>BALT ITALY S.r.l.</t>
  </si>
  <si>
    <t>6279,10</t>
  </si>
  <si>
    <t>TELEFLEX MEDICAL</t>
  </si>
  <si>
    <t>6008,32</t>
  </si>
  <si>
    <t>Phenox Italy srl</t>
  </si>
  <si>
    <t>6543,00</t>
  </si>
  <si>
    <t>ASSISTENZA TECNICA 2023 DITTA PRAESIDIA</t>
  </si>
  <si>
    <t>1681,00</t>
  </si>
  <si>
    <t>MEDACTA ITALIA</t>
  </si>
  <si>
    <t>6226,40</t>
  </si>
  <si>
    <t>3444,40</t>
  </si>
  <si>
    <t>ACQUISTO DISPOSITIVI MEDICI VARI</t>
  </si>
  <si>
    <t>E-Med</t>
  </si>
  <si>
    <t>4851,80</t>
  </si>
  <si>
    <t>ASSISTENZA TECNICA 2023 DITTA MEDITRON</t>
  </si>
  <si>
    <t>Meditron</t>
  </si>
  <si>
    <t>2976,85</t>
  </si>
  <si>
    <t>ASSISTENZA TECNICA 2023 DITTA FUJIFILM</t>
  </si>
  <si>
    <t>FUJIFILM ITALIA S.P.A.</t>
  </si>
  <si>
    <t>14808,00</t>
  </si>
  <si>
    <t>MEDIBERG</t>
  </si>
  <si>
    <t>2198,40</t>
  </si>
  <si>
    <t>1746,50</t>
  </si>
  <si>
    <t>CONTRATTO PONTE SERVIZIO FR NOVASEQ IRCCS - 1 QUADRIMESTRE 2023 ILLUMINA</t>
  </si>
  <si>
    <t>36220,05</t>
  </si>
  <si>
    <t>BIOPROJET ITALIA SRL</t>
  </si>
  <si>
    <t>5080,83</t>
  </si>
  <si>
    <t>ACQUISTO DETERGENTI PER LAVAFERRI PER CENTRALI DI STERILIZZAZIONE</t>
  </si>
  <si>
    <t>39990,00</t>
  </si>
  <si>
    <t>3438,00</t>
  </si>
  <si>
    <t>DET.382/23 recepimento proroga relativa ai contratti per la fornitura di dispositivi medici per la radiologia interventistica e la chirurgia vascolare</t>
  </si>
  <si>
    <t>CORDIS ITALY SRL</t>
  </si>
  <si>
    <t>70000,00</t>
  </si>
  <si>
    <t>16570,75</t>
  </si>
  <si>
    <t>32171,50</t>
  </si>
  <si>
    <t>DELTA MED S.p.A.</t>
  </si>
  <si>
    <t>8711,00</t>
  </si>
  <si>
    <t>HS - Hospital Service</t>
  </si>
  <si>
    <t>4230,00</t>
  </si>
  <si>
    <t>510,00</t>
  </si>
  <si>
    <t>Acquisto Telo per Microscopio Operatorio per ORL</t>
  </si>
  <si>
    <t>GI.MI. MEDICAL SRL</t>
  </si>
  <si>
    <t>1120,00</t>
  </si>
  <si>
    <t>DIPRO MEDICAL DEVICES S.R.L.</t>
  </si>
  <si>
    <t>250,00</t>
  </si>
  <si>
    <t>ASSISTENZA TECNICA 2023 DITTA AIR LIQUIDE MEDICAL SYSTEM</t>
  </si>
  <si>
    <t>AIR LIQUIDE MEDICAL SYSTEMS S.R.L.</t>
  </si>
  <si>
    <t>1273,00</t>
  </si>
  <si>
    <t>det 134/23 adesione intercenter medicinali e radiofarmaci 2023-2025 lotto 228 468 702</t>
  </si>
  <si>
    <t>EG S.p.A.</t>
  </si>
  <si>
    <t>35160,30</t>
  </si>
  <si>
    <t>7623,90</t>
  </si>
  <si>
    <t>det 134/23 adesione intercenter medicinali e radiofarmaci 2023-2025 lotto 267</t>
  </si>
  <si>
    <t>FARMITALIA INDUSTRIA CHIMICO FARMACEUTICA S.R.L.</t>
  </si>
  <si>
    <t>5847,75</t>
  </si>
  <si>
    <t>454,83</t>
  </si>
  <si>
    <t>KILKO SrL</t>
  </si>
  <si>
    <t>6865,00</t>
  </si>
  <si>
    <t>ASSISTENZA TECNICA 2023 DITTA AHSI</t>
  </si>
  <si>
    <t>AHSI S.P.A.</t>
  </si>
  <si>
    <t>4049,20</t>
  </si>
  <si>
    <t>4416,61</t>
  </si>
  <si>
    <t>Lofarma S.p.A.</t>
  </si>
  <si>
    <t>5956,95</t>
  </si>
  <si>
    <t>acquisto riviste varie det. 232 27.1.2023</t>
  </si>
  <si>
    <t>EBSCO INFORMATION SERVICES S.R.L.</t>
  </si>
  <si>
    <t>35333,00</t>
  </si>
  <si>
    <t>Proroga tecnica al 31/03/2023 servizi postali ex lotto 4 Ausl di Bologna nelle more attivazione nuova convenzione IntercenER - Determina n. 3398 del 30/12/2022</t>
  </si>
  <si>
    <t>POSTE ITALIANE SPA</t>
  </si>
  <si>
    <t>42000,00</t>
  </si>
  <si>
    <t>Proroga tecnica al 31/03/2023 serv. postali ex lotto 5, nelle more attivazione nuova convenzione IntercentER - determina n. 3398 del 30/12/2022</t>
  </si>
  <si>
    <t>POSTEL S.P.A.</t>
  </si>
  <si>
    <t>10500,00</t>
  </si>
  <si>
    <t>SMARTPRACTICE ITALY S.R.L.</t>
  </si>
  <si>
    <t>6267,50</t>
  </si>
  <si>
    <t>DET.331/23-Lancette pungidito, strisce reattive e Sistemi per automonitoraggio uso territoriale Proroga</t>
  </si>
  <si>
    <t>25896,00</t>
  </si>
  <si>
    <t>44616,00</t>
  </si>
  <si>
    <t>Janssen-Cilag</t>
  </si>
  <si>
    <t>5866,50</t>
  </si>
  <si>
    <t>Acquisto di prestazioni termali da struttura privata accreditata</t>
  </si>
  <si>
    <t>ALLEGROITALIA DMC S.R.L.</t>
  </si>
  <si>
    <t>347,26</t>
  </si>
  <si>
    <t>LONGLIFE FORMULA S.R.L.</t>
  </si>
  <si>
    <t>DET. 136/2023. DEFIBRILLATORI IMPIANTABILI ATTIVI INTICA 5 VR-T DX</t>
  </si>
  <si>
    <t>52200,00</t>
  </si>
  <si>
    <t>32500,00</t>
  </si>
  <si>
    <t>4100,00</t>
  </si>
  <si>
    <t>MEDLINE INTERNATIONAL ITALY SRL UNI(EX CAREFUSION ITALY 208 EX CARDINA</t>
  </si>
  <si>
    <t>Acquisto di prestazioni sanitarie da struttura privata accreditata</t>
  </si>
  <si>
    <t>MEDICAL LIFECHECK ONE SRL</t>
  </si>
  <si>
    <t>5687,59</t>
  </si>
  <si>
    <t>det 134/23 adesione intercenter medicinali e radiofarmaci 2023-2025 lotto 11 191 194 195</t>
  </si>
  <si>
    <t>AGUETTANT ITALIA SRL</t>
  </si>
  <si>
    <t>16842,00</t>
  </si>
  <si>
    <t>2792,60</t>
  </si>
  <si>
    <t>ACQUISTO ACCESSORI E MATERIALE DI CONSUMO PER ENDOSCOPIA</t>
  </si>
  <si>
    <t>4945,05</t>
  </si>
  <si>
    <t>5540,00</t>
  </si>
  <si>
    <t>Nuova Farmec</t>
  </si>
  <si>
    <t>6943,20</t>
  </si>
  <si>
    <t>5768,35</t>
  </si>
  <si>
    <t>Acquisto Materiale Odontoiatrico per Ricambi Riuniti</t>
  </si>
  <si>
    <t>461,00</t>
  </si>
  <si>
    <t>det 134/23 adesione intercenter medicinali e radiofarmaci 2023-2025 lotto 671</t>
  </si>
  <si>
    <t>AVAS PHARMACEUTICALS SRL</t>
  </si>
  <si>
    <t>261,24</t>
  </si>
  <si>
    <t>INDIVIOR ITALIA SRL</t>
  </si>
  <si>
    <t>det 134/23 adesione intercenter medicinali e radiofarmaci 2023-2025 lotto 127 163 382 388 400 401 420 426 464 480 481 502 503 616 617 625 667 701 736 756 757 758 766 767 792 840 841</t>
  </si>
  <si>
    <t>6533819,67</t>
  </si>
  <si>
    <t>1263472,52</t>
  </si>
  <si>
    <t>det 134/23 adesione intercenter medicinali e radiofarmaci 2023-2025 lotto 330</t>
  </si>
  <si>
    <t>K24 PHARMACEUTICALS S.R.L</t>
  </si>
  <si>
    <t>217780,20</t>
  </si>
  <si>
    <t>34485,00</t>
  </si>
  <si>
    <t>det 134/23 adesione intercenter medicinali e radiofarmaci 2023-2025 lotto 810</t>
  </si>
  <si>
    <t>LABORATORIO FARMACEUTICO CT SRL</t>
  </si>
  <si>
    <t>122212,80</t>
  </si>
  <si>
    <t>14169,60</t>
  </si>
  <si>
    <t>det 134/23 adesione intercenter medicinali e radiofarmaci 2023-2025 lotto 109</t>
  </si>
  <si>
    <t>MONICO S.p.A</t>
  </si>
  <si>
    <t>325,50</t>
  </si>
  <si>
    <t>det 134/23 adesione intercenter medicinali e radiofarmaci 2023-2025 lotto 213 733</t>
  </si>
  <si>
    <t>Neopharmed Gentili</t>
  </si>
  <si>
    <t>93781,40</t>
  </si>
  <si>
    <t>14925,41</t>
  </si>
  <si>
    <t>det 134/23 adesione intercenter medicinali e radiofarmaci 2023-2025 lotto 779</t>
  </si>
  <si>
    <t>NEURAXPHARM ITALY S.P.A.</t>
  </si>
  <si>
    <t>106461,21</t>
  </si>
  <si>
    <t>16189,71</t>
  </si>
  <si>
    <t>det 134/23 adesione intercenter medicinali e radiofarmaci 2023-2025 lotto 216 217 760 761 762 763 764 768</t>
  </si>
  <si>
    <t>OTSUKA 'HARMACEUTICAL ITALY SRL</t>
  </si>
  <si>
    <t>1904686,11</t>
  </si>
  <si>
    <t>357852,85</t>
  </si>
  <si>
    <t>ACQUISTO ETICHETTE RACCOLTA SANGUE MAT.SINTETICO</t>
  </si>
  <si>
    <t>4935,00</t>
  </si>
  <si>
    <t>ACQUISTO RACCOGLITORI PER CARTELLA CLINICA</t>
  </si>
  <si>
    <t>CARTAMARKET S. SALVATORE DI CENACCHI DAVIDE &amp; C. S</t>
  </si>
  <si>
    <t>4990,00</t>
  </si>
  <si>
    <t>3380,00</t>
  </si>
  <si>
    <t>PERMEDICA S.P.A.</t>
  </si>
  <si>
    <t>6880,00</t>
  </si>
  <si>
    <t>5981,50</t>
  </si>
  <si>
    <t>3244,50</t>
  </si>
  <si>
    <t>DIP.TECNICO-PATRIMONIALE-CED</t>
  </si>
  <si>
    <t>Contratto di assistenza tecnica su sistema elimina code modello GESCO LED Installato presso Casa della Salute Via Giovanni XIII n 29 Ozzano dell Emilia BO come da capitolato</t>
  </si>
  <si>
    <t>CIEMME GESCO SRLC/DED MOD. 1</t>
  </si>
  <si>
    <t>1500,00</t>
  </si>
  <si>
    <t>1125,00</t>
  </si>
  <si>
    <t>det 134/23 adesione convenzione intercenter medicinali e radiofarmaci 2023-2025  lotto 54 138 192 205 294 357 735 850 851</t>
  </si>
  <si>
    <t>CODIFI - CONSORZIO STABILE PER LA DISTRIBUZIONE SRL</t>
  </si>
  <si>
    <t>444444,20</t>
  </si>
  <si>
    <t>63709,10</t>
  </si>
  <si>
    <t>DET.583/23-ANTISETTICI E DISINFETTANTI Adesione Intercenter Lotto 36</t>
  </si>
  <si>
    <t>17550,00</t>
  </si>
  <si>
    <t>780,00</t>
  </si>
  <si>
    <t>Contratto di fornitura di prestazioni sanitarie ex art. 8 quinquies d.lgs. 502/1992.</t>
  </si>
  <si>
    <t>CENTRO MEDICO SPECIALISTICO BOLOGNESE S.R.L.</t>
  </si>
  <si>
    <t>356750,00</t>
  </si>
  <si>
    <t>97244,65</t>
  </si>
  <si>
    <t>CENTRO MEDICO GALLIERA SRL</t>
  </si>
  <si>
    <t>15079,00</t>
  </si>
  <si>
    <t>719,80</t>
  </si>
  <si>
    <t>EUROPA S.R.L.</t>
  </si>
  <si>
    <t>51883,00</t>
  </si>
  <si>
    <t>9818,03</t>
  </si>
  <si>
    <t>EL.SI.DA. SRL</t>
  </si>
  <si>
    <t>503868,00</t>
  </si>
  <si>
    <t>309927,93</t>
  </si>
  <si>
    <t>BIANALISI S.P.A.</t>
  </si>
  <si>
    <t>300303,00</t>
  </si>
  <si>
    <t>75576,26</t>
  </si>
  <si>
    <t>6065,50</t>
  </si>
  <si>
    <t>5704,74</t>
  </si>
  <si>
    <t>4075,20</t>
  </si>
  <si>
    <t>4486,60</t>
  </si>
  <si>
    <t>CONVENZIONE PER ATTIVIITA' DI SOCCORSO E TRASPORTO INFERMI IN EMERGENZA PUNTO DI PRIMO SOCCORSO CASA DICURA  PROF. NOBILI</t>
  </si>
  <si>
    <t>CASA DI CURA PROF. NOBILI SRL</t>
  </si>
  <si>
    <t>990000,00</t>
  </si>
  <si>
    <t>499500,00</t>
  </si>
  <si>
    <t>4956,00</t>
  </si>
  <si>
    <t>DET.3368/22 SERVICE SISTEMA IMMUNOISTOCHIMICA VENTANA ROCHE</t>
  </si>
  <si>
    <t>Roche Diagnostics SpA</t>
  </si>
  <si>
    <t>62743,34</t>
  </si>
  <si>
    <t>29630,00</t>
  </si>
  <si>
    <t>CATIS CONVENZIONE PER ATTIVITA' DI SOCCORSO E TRASPORTO INFERMI IN EMERGENZA E NON</t>
  </si>
  <si>
    <t>FONDAZIONE CATIS</t>
  </si>
  <si>
    <t>86175000,00</t>
  </si>
  <si>
    <t>6676106,93</t>
  </si>
  <si>
    <t>FORNITURA PILE</t>
  </si>
  <si>
    <t>TIOZZO GIUSEPPE SAS</t>
  </si>
  <si>
    <t>4877,11</t>
  </si>
  <si>
    <t>CONVENZIONE INTERCENT " AUSILI PER LA MOBILITA' DEI DISABILI-LOTTO 3-DET. 297 DEL 3,2,2023</t>
  </si>
  <si>
    <t>ADJUTOR s.r.l.</t>
  </si>
  <si>
    <t>16602,90</t>
  </si>
  <si>
    <t>10244,05</t>
  </si>
  <si>
    <t>CONVENZIONE INTERCENT-AUSILI PER LA MOBILITA' DEI DISABILI-LOTTO 1-DET. 297 DEL 3.2.2023</t>
  </si>
  <si>
    <t>GIALDI SRL</t>
  </si>
  <si>
    <t>104400,00</t>
  </si>
  <si>
    <t>24103,64</t>
  </si>
  <si>
    <t>6832,50</t>
  </si>
  <si>
    <t>4900,00</t>
  </si>
  <si>
    <t>PHENOMENEX SRL</t>
  </si>
  <si>
    <t>CIG DERIVATO LOTTO 3 - PROVINCIA S. ANTONIO FRATI MINORI</t>
  </si>
  <si>
    <t>Provincia S. Antonio dei Frati Minori</t>
  </si>
  <si>
    <t>346750,00</t>
  </si>
  <si>
    <t>143593,61</t>
  </si>
  <si>
    <t>CIG DERIVATO LOTTO 4 - CONSORZIO INDACO</t>
  </si>
  <si>
    <t>Consorzio Indaco SocietÃ  Cooperativa Sociale</t>
  </si>
  <si>
    <t>288350,00</t>
  </si>
  <si>
    <t>67379,10</t>
  </si>
  <si>
    <t>CIG DERIVATO LOTTO 4 - GENERAZIONI</t>
  </si>
  <si>
    <t>GENERAZIONI SocietÃ  Cooperativa Sociale</t>
  </si>
  <si>
    <t>28999,25</t>
  </si>
  <si>
    <t>CIG DERIVATO LOTTO 4 - SOLCO RAVENNA</t>
  </si>
  <si>
    <t>Consorzio SOLCO RAVENNA Cooperativa Sociale</t>
  </si>
  <si>
    <t>145014,50</t>
  </si>
  <si>
    <t>65354,84</t>
  </si>
  <si>
    <t>CIG DERIVATO LOTTO 5 - CONSORZIO INDACO</t>
  </si>
  <si>
    <t>810117,50</t>
  </si>
  <si>
    <t>320349,77</t>
  </si>
  <si>
    <t>CIG DERIVATO LOTTO 5 - ASP CITTA' DI BOLOGNA</t>
  </si>
  <si>
    <t>ASP CITTA DI BOLOGNA</t>
  </si>
  <si>
    <t>136743,60</t>
  </si>
  <si>
    <t>57371,04</t>
  </si>
  <si>
    <t>FLOW ASSESSMENT SRL</t>
  </si>
  <si>
    <t>3729,00</t>
  </si>
  <si>
    <t>ACQ. MATERIALE DI CONSUMO COLLEGATO AD APPARECCHIATURE VESALIUS</t>
  </si>
  <si>
    <t>756,00</t>
  </si>
  <si>
    <t>det 134/23 adesione intercenter medicinali e radiofarmaci 2023-2025 lotto 39 40 137 186 227 229 230 238 242 243 244 251 256 257 289 355 510 568 646 725 732 769 771 785 809</t>
  </si>
  <si>
    <t>BGP  PRODUCTS  S.r.l.</t>
  </si>
  <si>
    <t>944594,25</t>
  </si>
  <si>
    <t>130822,32</t>
  </si>
  <si>
    <t>ASSISTENZA TECNICA 2023 DITTA SERVICE MED</t>
  </si>
  <si>
    <t>SERVICE MED SRL CON SOCIO UNICO</t>
  </si>
  <si>
    <t>Contratto di fornitura per l'esecuzione di prestazioni di ossigenoterapia iperbarica ex art. 8 quinquies d.lgs. 502/1992.</t>
  </si>
  <si>
    <t>CENTRO IPERBARICO S.R.L.</t>
  </si>
  <si>
    <t>560000,00</t>
  </si>
  <si>
    <t>212587,45</t>
  </si>
  <si>
    <t>CONTRATTO PONTE SERVIZIO FR RADIOLOGIA TRADIZIONALE DITTA FORA</t>
  </si>
  <si>
    <t>FORA SPA</t>
  </si>
  <si>
    <t>38100,82</t>
  </si>
  <si>
    <t>9092,22</t>
  </si>
  <si>
    <t>DISPOSITIVI  MEDICI</t>
  </si>
  <si>
    <t>CENTRO DI RIABILITAZIONE AXIA SOCIETA COOPERATIVA</t>
  </si>
  <si>
    <t>1040744,00</t>
  </si>
  <si>
    <t>78720,00</t>
  </si>
  <si>
    <t>Scharper</t>
  </si>
  <si>
    <t>237,29</t>
  </si>
  <si>
    <t>6166,50</t>
  </si>
  <si>
    <t>TEGEA SRL</t>
  </si>
  <si>
    <t>5724,42</t>
  </si>
  <si>
    <t>ASSISTENZA TECNICA 2023 DITTA FORA</t>
  </si>
  <si>
    <t>1908,00</t>
  </si>
  <si>
    <t>det 134/23 adesione intercenter medicinali e radiofarmaci 2023-2025 lotto 279</t>
  </si>
  <si>
    <t>Gedeon Ritcher Italia srl</t>
  </si>
  <si>
    <t>73953,00</t>
  </si>
  <si>
    <t>12993,43</t>
  </si>
  <si>
    <t>AGILENT TECHNOLOGIES</t>
  </si>
  <si>
    <t>5365,70</t>
  </si>
  <si>
    <t>CASA DI CURA VAL PARMA - SOCIETA' A RESPONSABILITA</t>
  </si>
  <si>
    <t>36000,00</t>
  </si>
  <si>
    <t>885,24</t>
  </si>
  <si>
    <t>TERME DI SALSOMAGGIORE E DI TABIANO SOCIETA A RESP</t>
  </si>
  <si>
    <t>CASA DI CURA PRIVATA POLISPECI ALISTICA VILLA  VER</t>
  </si>
  <si>
    <t>73000,00</t>
  </si>
  <si>
    <t>42844,55</t>
  </si>
  <si>
    <t>CASA DI CURA PROF. UMBERTO FOGLIANI SOCIETA' A RES</t>
  </si>
  <si>
    <t>105000,00</t>
  </si>
  <si>
    <t>54955,46</t>
  </si>
  <si>
    <t>Contratto di Fornitura ex art. 8 quinquies d.lgs. 502/1992 per l'erogazione di prestazioni domiciliari ed ambulatoriali</t>
  </si>
  <si>
    <t>Cooperativa Sociale SocietÃ  Dolce</t>
  </si>
  <si>
    <t>224500,00</t>
  </si>
  <si>
    <t>120800,00</t>
  </si>
  <si>
    <t>6623,49</t>
  </si>
  <si>
    <t>5553,00</t>
  </si>
  <si>
    <t>1755,45</t>
  </si>
  <si>
    <t>ACQUISTO LAMPADE PER MICROSCOPIO PENTERO</t>
  </si>
  <si>
    <t>MULTI-MEDICAL SAS</t>
  </si>
  <si>
    <t>6240,55</t>
  </si>
  <si>
    <t>CONVEGNO SULLO STATO EPILETTICO REFRATTARIO DELL'1/2 MARZO 2023</t>
  </si>
  <si>
    <t>Acquisto dischi SSD e RAM da PC  per espansione macchine presenti in Azienda USL</t>
  </si>
  <si>
    <t>FERRARI GIOVANNI COMPUTER</t>
  </si>
  <si>
    <t>6186,00</t>
  </si>
  <si>
    <t>ALCANTARA S.R.L.</t>
  </si>
  <si>
    <t>C2 SRL</t>
  </si>
  <si>
    <t>DATA*SPEED S.R.L.</t>
  </si>
  <si>
    <t>FERRARI COMPUTER BOLOGNA SRL</t>
  </si>
  <si>
    <t>IFICONSULTING</t>
  </si>
  <si>
    <t>MEMOGRAPH DI PANERO GIOVANNA</t>
  </si>
  <si>
    <t>ROMAGNA COMPUTER SAS DI MATTEO ALBO</t>
  </si>
  <si>
    <t>TEAM MEMORES COMPUTER S.p.A.</t>
  </si>
  <si>
    <t>ZUCCHETTI INFORMATICA S.p.A.</t>
  </si>
  <si>
    <t>TECNOCART DI ANTONIO NATALI &amp; C. S.A.S.</t>
  </si>
  <si>
    <t>WALDNER TECNOLOGIE MEDICALI SRL A SOCIO UNICO</t>
  </si>
  <si>
    <t>5649,85</t>
  </si>
  <si>
    <t>ACQUISTO CUFFIE EEG</t>
  </si>
  <si>
    <t>SEI EMG srl</t>
  </si>
  <si>
    <t>27396,00</t>
  </si>
  <si>
    <t>8130,40</t>
  </si>
  <si>
    <t>ACQUISTO FARMACI VETERINARI</t>
  </si>
  <si>
    <t>VETEFAR S.R.L.</t>
  </si>
  <si>
    <t>1564,81</t>
  </si>
  <si>
    <t>ASSISTENZA TECNICA 2023 DITTA CARL ZEISS</t>
  </si>
  <si>
    <t>CARL ZEISS SPA CON SOCIO UNICO</t>
  </si>
  <si>
    <t>2562,52</t>
  </si>
  <si>
    <t>det 229/23 Contratto Ponte farmaci esclusivi HIZENTRA</t>
  </si>
  <si>
    <t>407949,50</t>
  </si>
  <si>
    <t>OSPEDALE PRIVATO SANTA VIOLA S.R.L.</t>
  </si>
  <si>
    <t>5285000,00</t>
  </si>
  <si>
    <t>2319228,12</t>
  </si>
  <si>
    <t>det 134/23 adesione intercenter medicinali e radiofarmaci 2023-2025 lotto 83</t>
  </si>
  <si>
    <t>OPELLA HEALTHCARE ITALY S.R.L</t>
  </si>
  <si>
    <t>7315,81</t>
  </si>
  <si>
    <t>det 134/23 adesione intercenter medicinali e radiofarmaci 2023-2025 lotto 726</t>
  </si>
  <si>
    <t>ORION PHARMA SRL</t>
  </si>
  <si>
    <t>951,60</t>
  </si>
  <si>
    <t>ACQUISTO MATERIALE DI CONSUMO DEDICATO PER SISTEMI MONITORAGGIO PHILIPS</t>
  </si>
  <si>
    <t>5570,95</t>
  </si>
  <si>
    <t>Rinnovo abbonamento notiziario DIRE E DIRES per l'Ausl di Bologna. Determina n. 2828 del 16/11/2022</t>
  </si>
  <si>
    <t>COM.E Comunicazione &amp; Editoria SRL</t>
  </si>
  <si>
    <t>6500,00</t>
  </si>
  <si>
    <t>DIC OPEN GROUP (STRUTTURA CASA TRA LE NUVOLE) INSERIMENTO DISABILI PERIODO 01/01/2023-31/12/2024</t>
  </si>
  <si>
    <t>OPEN GROUP SOCIETA' COOPERATIVA SOCIALE onlus</t>
  </si>
  <si>
    <t>484138,93</t>
  </si>
  <si>
    <t>93831,12</t>
  </si>
  <si>
    <t>DANTEGEST S.R.L.</t>
  </si>
  <si>
    <t>69,80</t>
  </si>
  <si>
    <t>det 134/23 adesione intercenter medicinali e radiofarmaci 2023-2025 lotto 473 483 513</t>
  </si>
  <si>
    <t>ISTITUTO GENTILI S.R.L.</t>
  </si>
  <si>
    <t>460631,38</t>
  </si>
  <si>
    <t>23940,40</t>
  </si>
  <si>
    <t>Novartis Farma</t>
  </si>
  <si>
    <t>Biomedica Italia srl</t>
  </si>
  <si>
    <t>6584,00</t>
  </si>
  <si>
    <t>Acquisto frigofarmaci per le sperimentazioni scientifiche della UOC Medicina Interna A 2023</t>
  </si>
  <si>
    <t>Frigomeccanica Andreaus S.r.l.</t>
  </si>
  <si>
    <t>1740,00</t>
  </si>
  <si>
    <t>Nuova Criotecnica Amcota</t>
  </si>
  <si>
    <t>ACQ. ACCESSORI X ELETTROCARDIOGRAFI DI PROPRIETA' PHILIPS</t>
  </si>
  <si>
    <t>2510,48</t>
  </si>
  <si>
    <t>acquisto pacchetti riviste e banche dati</t>
  </si>
  <si>
    <t>OVID - WOLTERS KLUWER</t>
  </si>
  <si>
    <t>30060,00</t>
  </si>
  <si>
    <t>acquisto paccheeti riviste e banche dati-det. 3401 del 30/12/2022</t>
  </si>
  <si>
    <t>UPTODATE</t>
  </si>
  <si>
    <t>23661,00</t>
  </si>
  <si>
    <t>acq.riv.varie</t>
  </si>
  <si>
    <t>GIUFFRE' ED. SPA</t>
  </si>
  <si>
    <t>1340,00</t>
  </si>
  <si>
    <t>ACQ.RIV.VARIE-DET. 232 DEL 27.1.2023</t>
  </si>
  <si>
    <t>2950,00</t>
  </si>
  <si>
    <t>ACQ.PACC.RIV.-DET. 232 27.1.2023</t>
  </si>
  <si>
    <t>GRUPPO SOLE 24 ORE</t>
  </si>
  <si>
    <t>ENTE NAZIONALE DI NORMAZIONE</t>
  </si>
  <si>
    <t>4750,00</t>
  </si>
  <si>
    <t>DET.278/2023.RINNOVO MATERIALE DI CONSUMO PER MICROINFUSORI. MEDTRONIC ITALIA SPA</t>
  </si>
  <si>
    <t>461112,40</t>
  </si>
  <si>
    <t>det 134/23 adesione intercenter medicinali e radiofarmaci 2023-2025 lotto 271 272 273 274 276 323 832 836</t>
  </si>
  <si>
    <t>IBSA FARMACEUTICI ITALIA</t>
  </si>
  <si>
    <t>164775,49</t>
  </si>
  <si>
    <t>det 134/23 adesione intercenter medicinali e radiofarmaci 2023-2025 lotto 361 795</t>
  </si>
  <si>
    <t>INFECTOPHARM S.R.L.</t>
  </si>
  <si>
    <t>385649,25</t>
  </si>
  <si>
    <t>44890,75</t>
  </si>
  <si>
    <t>ACQUISTO DISPOSITIVI DI IMMOBILIZZAZIONE PER P.S.</t>
  </si>
  <si>
    <t>AIESI HOSPITAL SERVICE S.A.S.</t>
  </si>
  <si>
    <t>235,00</t>
  </si>
  <si>
    <t>Software License TIBCO Sportfire Desktop</t>
  </si>
  <si>
    <t>TIBCO SOFTWARE LIMITED</t>
  </si>
  <si>
    <t>606,38</t>
  </si>
  <si>
    <t>BRUSCHETTINI S.R.L.</t>
  </si>
  <si>
    <t>1072,00</t>
  </si>
  <si>
    <t>Proroga affidamento del servizio di soccorso sanitario con elicottero per le basi regionali di bologna, Parma, Ravenna e Pavullo nel Frignano, dal 01/01/2023 al 31/05/2023 - Det. n. 2746 del 07/11/2022</t>
  </si>
  <si>
    <t>Inaer Aviation Italia spa</t>
  </si>
  <si>
    <t>6000000,00</t>
  </si>
  <si>
    <t>5823802,90</t>
  </si>
  <si>
    <t>SERVIZIO DI TRASPORTO FUNEBRE SALMA DONATORE DI ORGANI</t>
  </si>
  <si>
    <t>IMPRESA FUNEBRE MARMI E LAPIDI P.T.M</t>
  </si>
  <si>
    <t>482,00</t>
  </si>
  <si>
    <t>COMUNITA SAN PATRIGNANO SOCIETA COOPERATIVA SOCIAL</t>
  </si>
  <si>
    <t>461,60</t>
  </si>
  <si>
    <t>FORNITURA DI GAS METANO PER AUTOMEZZI AUSL BOLOGNA - ZONA VALSAMOGGIA</t>
  </si>
  <si>
    <t>Metano crespellano srl</t>
  </si>
  <si>
    <t>2218,68</t>
  </si>
  <si>
    <t>DET.495/2023 Incremento servizio manutenzione gommista zona Bologna - lotto 2</t>
  </si>
  <si>
    <t>PORRETTANA GOMME DPA</t>
  </si>
  <si>
    <t>2640,23</t>
  </si>
  <si>
    <t>Acquisto di un defibrillatore per le esigenze della Stroke ospedale maggiore  con 1 in opzione 2023</t>
  </si>
  <si>
    <t>16000,00</t>
  </si>
  <si>
    <t>det 134/23 adesione intercenter medicinali e radiofarmaci 2023-2025 lotto 595</t>
  </si>
  <si>
    <t>Alexion Pharma Italy S.r.l.</t>
  </si>
  <si>
    <t>91968,90</t>
  </si>
  <si>
    <t>det 134/23 adesione convenzione intercenter medicinali e radiofarmaci 2023 2025 lotto 497 397 421 479 492 497 501 512 593 594 639</t>
  </si>
  <si>
    <t>Bristol-Myers Squibb</t>
  </si>
  <si>
    <t>4307899,33</t>
  </si>
  <si>
    <t>2908013,68</t>
  </si>
  <si>
    <t>DET.150/2023 FORNITURA, IN VENTIQUATTRO LOTTI DISTINTI, DI SENSORI, MONOPAZIENTE E RIUTILIZZABILI, PER IL MONITORAGGIO NON INVASIVO DELLA SATURAZIONE ARTERIOSA DI OSSIGENO (SPO2) E RELATIVI ACCESSORI. LOTTO 2</t>
  </si>
  <si>
    <t>MASIMO EUROPE LTD</t>
  </si>
  <si>
    <t>26400,00</t>
  </si>
  <si>
    <t>1920,00</t>
  </si>
  <si>
    <t>DET.150/2023 FORNITURA, IN VENTIQUATTRO LOTTI DISTINTI, DI SENSORI, MONOPAZIENTE E RIUTILIZZABILI, PER IL MONITORAGGIO NON INVASIVO DELLA SATURAZIONE ARTERIOSA DI OSSIGENO (SPO2) E RELATIVI ACCESSORI. LOTTO 3</t>
  </si>
  <si>
    <t>533700,00</t>
  </si>
  <si>
    <t>90983,80</t>
  </si>
  <si>
    <t>DET.150/2023 FORNITURA, IN VENTIQUATTRO LOTTI DISTINTI, DI SENSORI, MONOPAZIENTE E RIUTILIZZABILI, PER IL MONITORAGGIO NON INVASIVO DELLA SATURAZIONE ARTERIOSA DI OSSIGENO (SPO2) E RELATIVI ACCESSORI. LOTTO 7</t>
  </si>
  <si>
    <t>35743,32</t>
  </si>
  <si>
    <t>1550,93</t>
  </si>
  <si>
    <t>DET.150/2023 FORNITURA, IN VENTIQUATTRO LOTTI DISTINTI, DI SENSORI, MONOPAZIENTE E RIUTILIZZABILI, PER IL MONITORAGGIO NON INVASIVO DELLA SATURAZIONE ARTERIOSA DI OSSIGENO (SPO2) E RELATIVI ACCESSORI. LOTTO 12</t>
  </si>
  <si>
    <t>18432,00</t>
  </si>
  <si>
    <t>2880,00</t>
  </si>
  <si>
    <t>DET.150/2023 FORNITURA, IN VENTIQUATTRO LOTTI DISTINTI, DI SENSORI, MONOPAZIENTE E RIUTILIZZABILI, PER IL MONITORAGGIO NON INVASIVO DELLA SATURAZIONE ARTERIOSA DI OSSIGENO (SPO2) E RELATIVI ACCESSORI. LOTTO 18</t>
  </si>
  <si>
    <t>1746,12</t>
  </si>
  <si>
    <t>DET.150/2023 FORNITURA, IN VENTIQUATTRO LOTTI DISTINTI, DI SENSORI, MONOPAZIENTE E RIUTILIZZABILI, PER IL MONITORAGGIO NON INVASIVO DELLA SATURAZIONE ARTERIOSA DI OSSIGENO (SPO2) E RELATIVI ACCESSORI. LOTTO 21</t>
  </si>
  <si>
    <t>6360,00</t>
  </si>
  <si>
    <t>220,00</t>
  </si>
  <si>
    <t>Acquisto minuteria informatica urgente per esigenze della AUSL -</t>
  </si>
  <si>
    <t>668,00</t>
  </si>
  <si>
    <t>667,40</t>
  </si>
  <si>
    <t>det 134/23 adesione intercenter medicinali e radiofarmaci 2023-2025 lotto 436 437 439 441</t>
  </si>
  <si>
    <t>BIOTEST ITALIA SRL</t>
  </si>
  <si>
    <t>105713,40</t>
  </si>
  <si>
    <t>2062,74</t>
  </si>
  <si>
    <t>det 134/23 adesione intercenter medicinali e radiofarmaci 2023-2025 lotto 34 259 304 305 306 308 569</t>
  </si>
  <si>
    <t>FERRING S.p.A.</t>
  </si>
  <si>
    <t>351428,91</t>
  </si>
  <si>
    <t>49476,37</t>
  </si>
  <si>
    <t>DETE 269/23 DM X CHIRURGIA VERTEBRALE Proroga 2023 HD</t>
  </si>
  <si>
    <t>HD HOSPITAL DEVICE SRL</t>
  </si>
  <si>
    <t>2437,50</t>
  </si>
  <si>
    <t>6762,80</t>
  </si>
  <si>
    <t>Aziende Chimiche Riunite Angelini Francesco</t>
  </si>
  <si>
    <t>5996,30</t>
  </si>
  <si>
    <t>ACQUISTO EEG MEDICINA RIABILITATIVA INFANTILE IRCCS 2023</t>
  </si>
  <si>
    <t>BrainTrends</t>
  </si>
  <si>
    <t>33780,00</t>
  </si>
  <si>
    <t>6007,14</t>
  </si>
  <si>
    <t>det 134/23 adesione intercenter medicinali e radiofarmaci 2023-2025 lotto 309</t>
  </si>
  <si>
    <t>Correvio Italia S.r.l.</t>
  </si>
  <si>
    <t>591304,80</t>
  </si>
  <si>
    <t>det 134/23 adesione intercenter medicinali e radiofarmaci 2023-2025 lotto 157</t>
  </si>
  <si>
    <t>KEDRION SPA</t>
  </si>
  <si>
    <t>1735245,12</t>
  </si>
  <si>
    <t>249,04</t>
  </si>
  <si>
    <t>det 134/23 adesione intercenter medicinali e radiofarmaci 2023-2025 lotto 341</t>
  </si>
  <si>
    <t>Msd Italia</t>
  </si>
  <si>
    <t>104184,60</t>
  </si>
  <si>
    <t>det 134/23 adesione intercenter medicinali e radiofarmaci 2023-2025 lotto 148</t>
  </si>
  <si>
    <t>Novo Nordisk S.P.A.</t>
  </si>
  <si>
    <t>423689,89</t>
  </si>
  <si>
    <t>det 134/23 adesione intercenter medicinali e radiofarmaci 2023-2025 lotto 325</t>
  </si>
  <si>
    <t>295,62</t>
  </si>
  <si>
    <t>ACQAUISTO DISINFETTANTI</t>
  </si>
  <si>
    <t>5805,00</t>
  </si>
  <si>
    <t>det 134/23 adesione intercenter medicinali e radiofarmaci 2023-2025 lotto 154 164 403 404 427 488 489 494 495 496 507 522 537 549 584 585 604 618 619 716 717 718 861</t>
  </si>
  <si>
    <t>ROCHE S.p.A. - SocietÃ  unipersonale</t>
  </si>
  <si>
    <t>16533631,12</t>
  </si>
  <si>
    <t>2638065,74</t>
  </si>
  <si>
    <t>det 134/23 adesione intercenter medicinali e radiofarmaci 2023-2025 lotto 57</t>
  </si>
  <si>
    <t>Sandoz S.p.A.</t>
  </si>
  <si>
    <t>26514,75</t>
  </si>
  <si>
    <t>det 134/23 adesione intercenter medicinali e radiofarmaci 2023-2025 lotto 35 58 61 69 94 98 99 106 130 141 150 181 318 434 493 559 580 602 669 794 916 917</t>
  </si>
  <si>
    <t>7118454,24</t>
  </si>
  <si>
    <t>843492,59</t>
  </si>
  <si>
    <t>det 134/23 adesione intercenter medicinali e radiofarmaci 2023-2025 lotto 740 741 806 807</t>
  </si>
  <si>
    <t>LUNDBECK ITALIA S.P.A.</t>
  </si>
  <si>
    <t>47777,06</t>
  </si>
  <si>
    <t>8639,60</t>
  </si>
  <si>
    <t>det 134/23 adesione intercenter medicinali e radiofarmaci 2023-2025 lotto 184 185 193 358 470 547 631 682 706 755 765 796</t>
  </si>
  <si>
    <t>2033233,13</t>
  </si>
  <si>
    <t>335329,04</t>
  </si>
  <si>
    <t>ITC FARMA SRL</t>
  </si>
  <si>
    <t>5994,12</t>
  </si>
  <si>
    <t>4285,00</t>
  </si>
  <si>
    <t>4272,72</t>
  </si>
  <si>
    <t>SERVIZIO DI TELEPEDAGGIO AUTOSTRADALE E LOCAZIONE TELEPASS - SOCIETA' AUSTRADE PER L'ITALIA SPA E TELEPASS SPA  ANNO 2023</t>
  </si>
  <si>
    <t>Telepass Spa</t>
  </si>
  <si>
    <t>38000,00</t>
  </si>
  <si>
    <t>15174,20</t>
  </si>
  <si>
    <t>Autostrade per l'Italia Spa</t>
  </si>
  <si>
    <t>6252,50</t>
  </si>
  <si>
    <t>NOLEGGIO EROGATORI ALLACCIATI ALLA RETE IDRICA DA SOTTOLAVELLO</t>
  </si>
  <si>
    <t>ONDAZZURRA S.R.L.</t>
  </si>
  <si>
    <t>3960,00</t>
  </si>
  <si>
    <t>MEDI SALUSER S.R.L.</t>
  </si>
  <si>
    <t>5835,00</t>
  </si>
  <si>
    <t>5268,77</t>
  </si>
  <si>
    <t>det 134/23 adesione intercenter medicinali e radiofarmaci 2023-2025 lotto 705</t>
  </si>
  <si>
    <t>20669,88</t>
  </si>
  <si>
    <t>1528,24</t>
  </si>
  <si>
    <t>det 134/23 adesione intercenter medicinali e radiofarmaci 2023-2025 lotto 152</t>
  </si>
  <si>
    <t>893451,94</t>
  </si>
  <si>
    <t>det 134/23 adesione intercenter medicinali e radiofarmaci 2023-2025 lotto 153</t>
  </si>
  <si>
    <t>20195,40</t>
  </si>
  <si>
    <t>det 134/23 adesione intercenter medicinali e radiofarmaci 2023-2025 lotto 50</t>
  </si>
  <si>
    <t>810122,38</t>
  </si>
  <si>
    <t>det 134/23 adesione intercenter medicinali e radiofarmaci 2023-2025 lotto 51</t>
  </si>
  <si>
    <t>682690,24</t>
  </si>
  <si>
    <t>det 134/23 adesione intercenter medicinali e radiofarmaci 2023-2025 lotto 31 144 187 201 234 260 270 290 292 293 300 302 314 315 316 322 339 344 349 350 362 368 370 371 372 378 455 472 475 476 504 515 521 523 524 535 542 543 557 (ecc.. vedi nota)</t>
  </si>
  <si>
    <t>PFIZER SRL</t>
  </si>
  <si>
    <t>8563680,73</t>
  </si>
  <si>
    <t>1753108,30</t>
  </si>
  <si>
    <t>det 134/23 adesione intercenter medicinali e radiofarmaci 2023-2025 lotto 805</t>
  </si>
  <si>
    <t>37800,00</t>
  </si>
  <si>
    <t>det 134/23 adesione intercenter medicinali e radiofarmaci 2023-2025 lotto 367 544 923</t>
  </si>
  <si>
    <t>HRA PHARMA ITALIA S.r.l.</t>
  </si>
  <si>
    <t>57040,02</t>
  </si>
  <si>
    <t>24208,80</t>
  </si>
  <si>
    <t>det 134/23 adesione intercenter medicinali e radiofarmaci 2023-2025 lotto 694</t>
  </si>
  <si>
    <t>LEADIANT BIOSCIENCES LIMITED</t>
  </si>
  <si>
    <t>19223,82</t>
  </si>
  <si>
    <t>1796,04</t>
  </si>
  <si>
    <t>det 134/23 adesione intercenter medicinali e radiofarmaci 2023-2025 lotto 97 100 101 105 820</t>
  </si>
  <si>
    <t>SCIENSUS INTERNATIONAL B.V.</t>
  </si>
  <si>
    <t>3113923,82</t>
  </si>
  <si>
    <t>588316,97</t>
  </si>
  <si>
    <t>det 134/23 adesione intercenter medicinali e radiofarmaci 2023-2025 lotto 140 e 143 155 606 615</t>
  </si>
  <si>
    <t>Swedish Orphan Biovitrum Srl</t>
  </si>
  <si>
    <t>5811631,11</t>
  </si>
  <si>
    <t>646376,70</t>
  </si>
  <si>
    <t>det 134/23 adesione intercenter medicinali e radiofarmaci 2023-2025 lotto 13 119</t>
  </si>
  <si>
    <t>ACARPIA FARMACEUTICI S.R.L.</t>
  </si>
  <si>
    <t>753,66</t>
  </si>
  <si>
    <t>det 134/23 adesione intercenter medicinali e radiofarmaci 2023-2025 lotto 892 893</t>
  </si>
  <si>
    <t>Visufarma s.r.l.</t>
  </si>
  <si>
    <t>86239,08</t>
  </si>
  <si>
    <t>12015,00</t>
  </si>
  <si>
    <t>det 134/23 adesione intercenter medicinali e radiofarmaci 2023-2025 lotto 867</t>
  </si>
  <si>
    <t>Vertex Pharmaceuticals srl</t>
  </si>
  <si>
    <t>313512,01</t>
  </si>
  <si>
    <t>det 134/23 adesione intercenter medicinali e radiofarmaci 2023-2025 lotto 868</t>
  </si>
  <si>
    <t>590674,80</t>
  </si>
  <si>
    <t>5785,48</t>
  </si>
  <si>
    <t>Acquisizione Stampanti Laser a Forno Freddo per i Punti Prelievi della AUSL come da capitolato</t>
  </si>
  <si>
    <t>R.C.M. ITALIA S.R.L.</t>
  </si>
  <si>
    <t>Acquisizione Videoproiettori per implementazione/ manutenzione aule informatiche come da capitolato</t>
  </si>
  <si>
    <t>Tomware S.c.a r.l.</t>
  </si>
  <si>
    <t>5615,00</t>
  </si>
  <si>
    <t>DPS INFORMATICA di Presello Gianni &amp; C. SNC</t>
  </si>
  <si>
    <t>ECO LASER INFORMATICA SRL</t>
  </si>
  <si>
    <t>LUCA P. ELETTRONICA SRL</t>
  </si>
  <si>
    <t>PUCCIUFFICIO SRL</t>
  </si>
  <si>
    <t>RL3 SRL</t>
  </si>
  <si>
    <t>T.T.TECNOSISTEMI SPA</t>
  </si>
  <si>
    <t>ACQUISTO DISPOSITIVI PER AMBULATORI OCULISTICI</t>
  </si>
  <si>
    <t>2485,00</t>
  </si>
  <si>
    <t>ACQUISTO CONTENITORI PER EMOCOMPONENTI PER IRRADIATORE</t>
  </si>
  <si>
    <t>MEDICAL SERVICE S.r.l</t>
  </si>
  <si>
    <t>720,00</t>
  </si>
  <si>
    <t>ACQUISTO PIASTRE STABILIZZATRICI TEMPERATURA PER TRASFUSIONALE OM</t>
  </si>
  <si>
    <t>EMA SAS</t>
  </si>
  <si>
    <t>270,00</t>
  </si>
  <si>
    <t>acquisto n. 1 otoscopio per poliambulatorio Borgo piu' n 1 in opzione</t>
  </si>
  <si>
    <t>PHARMA EEC SRL (ANEDDA DIV.OSPEDALIDED.3</t>
  </si>
  <si>
    <t>120,00</t>
  </si>
  <si>
    <t>60,00</t>
  </si>
  <si>
    <t>MEGAPHARMA OSPEDALIERA S.R.L.</t>
  </si>
  <si>
    <t>Assistenza annuale Aula Magna per periodo dal 01/01/2023 al 31/12/2023</t>
  </si>
  <si>
    <t>TAGLIABUE SISTEMI SRL</t>
  </si>
  <si>
    <t>4000,00</t>
  </si>
  <si>
    <t>DPO_Progetto Vita Indipendente "Casa di Paola" - Fondazione Dopo di Noi di Bologna. Periodo dal 01/01/2023 al 31/12/2024</t>
  </si>
  <si>
    <t>FONDAZIONE DOPO DI NOI BOLOGNA - ONLUS</t>
  </si>
  <si>
    <t>30732,00</t>
  </si>
  <si>
    <t>7328,64</t>
  </si>
  <si>
    <t>3346,94</t>
  </si>
  <si>
    <t>6870,00</t>
  </si>
  <si>
    <t>ANTICA ROSA DI CAVINI PAOLO E SERRA</t>
  </si>
  <si>
    <t>450,00</t>
  </si>
  <si>
    <t>6147,86</t>
  </si>
  <si>
    <t>GIOCHEMICA srl</t>
  </si>
  <si>
    <t>5922,00</t>
  </si>
  <si>
    <t>9254,90</t>
  </si>
  <si>
    <t>ELI LILLY ITALIA S.p.A.</t>
  </si>
  <si>
    <t>5931,45</t>
  </si>
  <si>
    <t>ACQUISTO VACCINI</t>
  </si>
  <si>
    <t>5857,20</t>
  </si>
  <si>
    <t>det 574/23 adesione intercente medicinali biologici e biosimilari 2023-2024</t>
  </si>
  <si>
    <t>554827,74</t>
  </si>
  <si>
    <t>72124,00</t>
  </si>
  <si>
    <t>det 574/23 adesione intercenter medicinali biologici e biosimilari 2023-2024 lotto 3</t>
  </si>
  <si>
    <t>CELLTRION HEALTHCARE ITALY S.R.L.</t>
  </si>
  <si>
    <t>216391,68</t>
  </si>
  <si>
    <t>57104,04</t>
  </si>
  <si>
    <t>ASSISTENZA TECNICA 2023 DITTA FOTOFINDER</t>
  </si>
  <si>
    <t>FOTOFINDER ITALIA SRL</t>
  </si>
  <si>
    <t>160,00</t>
  </si>
  <si>
    <t>5690,00</t>
  </si>
  <si>
    <t>Acquisto  prodotti di ortodonzia chirurgica</t>
  </si>
  <si>
    <t>AMERICAN ORTHODONTICS S.R.L.</t>
  </si>
  <si>
    <t>14110,43</t>
  </si>
  <si>
    <t>10238,83</t>
  </si>
  <si>
    <t>5969,38</t>
  </si>
  <si>
    <t>Rinnovo annuale dei contratti SPS Service Program n. 40253 -  46895 -  51556 - 46785 relativi alle soluzioni Statistics for Data Analysis  in uso nell Azienda</t>
  </si>
  <si>
    <t>SPS SRL A SOCIO UNICO</t>
  </si>
  <si>
    <t>4220,00</t>
  </si>
  <si>
    <t>2110,00</t>
  </si>
  <si>
    <t>ASSISTENZA TECNICA 2023 DITTA AIR LIQUIDE SANITA' SERVICE</t>
  </si>
  <si>
    <t>AIR LIQUIDE SANITA' SERVICE S.P.A.</t>
  </si>
  <si>
    <t>308,40</t>
  </si>
  <si>
    <t>5979,96</t>
  </si>
  <si>
    <t>DET.212/23 FORNITURA N. 8 SISTEMI PENSILE A PONTE PER STROKE UNIT CORPO D OSPEDALE MAGGIORE</t>
  </si>
  <si>
    <t>I.M. MEDICAL SAS</t>
  </si>
  <si>
    <t>63500,00</t>
  </si>
  <si>
    <t>det 134/23 adesione intercenter medicinali e radiofarmaci 2023-2025 lotto 277 278 281 282 284 285 299 490 506 573</t>
  </si>
  <si>
    <t>Merck Serono</t>
  </si>
  <si>
    <t>2987759,51</t>
  </si>
  <si>
    <t>532741,39</t>
  </si>
  <si>
    <t>det 134/23 adesione intercenter medicinali e radiofarmaci 2023-2025 lotto 22 199</t>
  </si>
  <si>
    <t>NORGINE ITALIA S.R.L.</t>
  </si>
  <si>
    <t>6604,85</t>
  </si>
  <si>
    <t>DET.495/2023 Incremento servizio gommista zona Alto Reno Terme e Vergato - lotto 4</t>
  </si>
  <si>
    <t>OFFICINA F.LLI PERI SRL</t>
  </si>
  <si>
    <t>10800,00</t>
  </si>
  <si>
    <t>414,24</t>
  </si>
  <si>
    <t>4884,04</t>
  </si>
  <si>
    <t>2972,72</t>
  </si>
  <si>
    <t>ASSISTENZA TECNICA 2023 DITTA CHINESPORT</t>
  </si>
  <si>
    <t>CHINESPORT SPA</t>
  </si>
  <si>
    <t>1518,61</t>
  </si>
  <si>
    <t>DPO_CSRR "Il Poggetto" Utente M.V. - Istituti Polesani. Periodo dal 13/02/2023 al 31/12/2023</t>
  </si>
  <si>
    <t>ISTITUTI POLESANI SRL</t>
  </si>
  <si>
    <t>18224,96</t>
  </si>
  <si>
    <t>MOLNLYCKE HEALT CARE S.R.L.</t>
  </si>
  <si>
    <t>det 134/23 adesione intercenter medicinali e radiofarmaci 2023-2025 lotto 295 657 659 660 662 663 665 666 668 813 814 815 815</t>
  </si>
  <si>
    <t>1524054,76</t>
  </si>
  <si>
    <t>212824,46</t>
  </si>
  <si>
    <t>Contratto di Fornitura ex art. 8 quinquies d.lgs. 502/1992 per l'assistenza sanitaria ai pazienti in fase avanzata di malattia</t>
  </si>
  <si>
    <t>FONDAZIONE HOSPICE MARIA TERESA CHIANTORE SERAGNOL</t>
  </si>
  <si>
    <t>4528297,00</t>
  </si>
  <si>
    <t>1939936,68</t>
  </si>
  <si>
    <t>6858,24</t>
  </si>
  <si>
    <t>det 134/23 adesione intercenter medicinali e radiofarmaci 2023-2025 lotto 739 19 160 356 678  786 787 788 789 790</t>
  </si>
  <si>
    <t>857173,81</t>
  </si>
  <si>
    <t>159730,45</t>
  </si>
  <si>
    <t>FISHER SCIENTIFIC SAS</t>
  </si>
  <si>
    <t>3030,27</t>
  </si>
  <si>
    <t>det 134/23 adesione intercenter medicinali e radiofarmaci 2023-2025 lotto 182 183 450 457</t>
  </si>
  <si>
    <t>ASPEN PHARMA IRELAND LTD</t>
  </si>
  <si>
    <t>13686,59</t>
  </si>
  <si>
    <t>2225,89</t>
  </si>
  <si>
    <t>et 134/23 adesione intercenter medicinali e radiofarmaci 2023-2025 lotto 291 565 632 633 634</t>
  </si>
  <si>
    <t>ASTELLAS PHARMA S.P.A.</t>
  </si>
  <si>
    <t>5265405,83</t>
  </si>
  <si>
    <t>772193,99</t>
  </si>
  <si>
    <t>et 134/23 adesione intercenter medicinali e radiofarmaci 2023-2025 lotto 27 56  102 111 189 190 220 346 347 348 564 566</t>
  </si>
  <si>
    <t>101502,94</t>
  </si>
  <si>
    <t>8923,13</t>
  </si>
  <si>
    <t>det 134/23 adesione intercenter medicinali e radiofarmaci 2023-2025 lotto 727</t>
  </si>
  <si>
    <t>Bial Italia S.r.l.</t>
  </si>
  <si>
    <t>330644,16</t>
  </si>
  <si>
    <t>45890,46</t>
  </si>
  <si>
    <t>26771,21</t>
  </si>
  <si>
    <t>CARLO ERBA REAGENTS S.r.l.</t>
  </si>
  <si>
    <t>2474,96</t>
  </si>
  <si>
    <t>6269,00</t>
  </si>
  <si>
    <t>5848,00</t>
  </si>
  <si>
    <t>6512,15</t>
  </si>
  <si>
    <t>DET.581/2023 FORNITURA DI MICROINFUSORI OMNIPOD E PATCH PUMP MONOUSO.</t>
  </si>
  <si>
    <t>64390,50</t>
  </si>
  <si>
    <t>ONORANZE FUNEBRI BORGO DI LELLI ROMANO</t>
  </si>
  <si>
    <t>352,00</t>
  </si>
  <si>
    <t>DET.583/23-ANTISETTICI E DISINFETTANTI Adesione Intercenter Lotto 20</t>
  </si>
  <si>
    <t>109200,00</t>
  </si>
  <si>
    <t>12096,00</t>
  </si>
  <si>
    <t>DET.583/23-ANTISETTICI E DISINFETTANTI Adesione Intercenter Lotto 45</t>
  </si>
  <si>
    <t>225,00</t>
  </si>
  <si>
    <t>DET.583/23-ANTISETTICI E DISINFETTANTI Adesione Intercenter Lotto 50</t>
  </si>
  <si>
    <t>3570,00</t>
  </si>
  <si>
    <t>485,52</t>
  </si>
  <si>
    <t>DET.583/23-ANTISETTICI E DISINFETTANTI Adesione Intercenter Lotto 60</t>
  </si>
  <si>
    <t>157,50</t>
  </si>
  <si>
    <t>DET.583/23-ANTISETTICI E DISINFETTANTI Adesione Intercenter Lotto 61</t>
  </si>
  <si>
    <t>36800,00</t>
  </si>
  <si>
    <t>DET.583/23-ANTISETTICI E DISINFETTANTI Adesione Intercenter Lotto 66</t>
  </si>
  <si>
    <t>Acquisizione di servizio di manutenzione e assistenza software CARDIOREF- MODULO BASE (Cardiologia OM) come da capitolato</t>
  </si>
  <si>
    <t>3A SISTEMI SRL</t>
  </si>
  <si>
    <t>3600,00</t>
  </si>
  <si>
    <t>DPE - GAP ALTIUS FEBBRAIO-DICEMBRE 2023</t>
  </si>
  <si>
    <t>ALTIUS SOCIETA' COOPERATIVA SOCIALE</t>
  </si>
  <si>
    <t>200000,00</t>
  </si>
  <si>
    <t>47772,80</t>
  </si>
  <si>
    <t>ACQ. DISPOSITIVI POZI FOAM PER SALE OPERATORIE</t>
  </si>
  <si>
    <t>Novamedisan Italia s.r.l.</t>
  </si>
  <si>
    <t>4248,40</t>
  </si>
  <si>
    <t>RG. 3468/2022 TAR Lazio - Avv. Valerio Tallini</t>
  </si>
  <si>
    <t>Avv. Valerio Tallini</t>
  </si>
  <si>
    <t>467,07</t>
  </si>
  <si>
    <t>CIG DERIVATO LOTTO 6 - GENERAZIONI</t>
  </si>
  <si>
    <t>127841,25</t>
  </si>
  <si>
    <t>21085,05</t>
  </si>
  <si>
    <t>Acquisto camici di classe 3 taglia XXL per Fondazione Catis</t>
  </si>
  <si>
    <t>MABE S.R.L.</t>
  </si>
  <si>
    <t>6077,00</t>
  </si>
  <si>
    <t>5908,00</t>
  </si>
  <si>
    <t>ACQUISTO SACCHETTI RACCOLTA FLUIDI ORGANICI</t>
  </si>
  <si>
    <t>4590,00</t>
  </si>
  <si>
    <t>DET.150/2023 FORNITURA, IN VENTIQUATTRO LOTTI DISTINTI, DI SENSORI, MONOPAZIENTE E RIUTILIZZABILI, PER IL MONITORAGGIO NON INVASIVO DELLA SATURAZIONE ARTERIOSA DI OSSIGENO (SPO2) E RELATIVI ACCESSORI. LOTTO 17</t>
  </si>
  <si>
    <t>30808,60</t>
  </si>
  <si>
    <t>4105,86</t>
  </si>
  <si>
    <t>DET.196/22 RECEOIMENTO DET.FERRARA PROROGA TERRENI DI COLTURA</t>
  </si>
  <si>
    <t>VACUTEST KIMA SRL</t>
  </si>
  <si>
    <t>1025,00</t>
  </si>
  <si>
    <t>LIOFILCHEM S.R.L.</t>
  </si>
  <si>
    <t>1465,00</t>
  </si>
  <si>
    <t>MERCK S.P.A.</t>
  </si>
  <si>
    <t>1640,00</t>
  </si>
  <si>
    <t>ACQUISTO SET BIOM READY MONOUSO PER FOCALE</t>
  </si>
  <si>
    <t>39204,00</t>
  </si>
  <si>
    <t>3588,00</t>
  </si>
  <si>
    <t>CENTRO FISIOLASERTERAPICO EMILIANO S.R.L.</t>
  </si>
  <si>
    <t>3079,05</t>
  </si>
  <si>
    <t>DIAGNOSTICA S.R.L.</t>
  </si>
  <si>
    <t>TERME DI PUNTA MARINA SOCIETA' A RESPONSABILITA' L</t>
  </si>
  <si>
    <t>489,50</t>
  </si>
  <si>
    <t>TERME DELLA SALVAROLA S.P.A.</t>
  </si>
  <si>
    <t>C.A.F. CENTRO AMBULATORIALE DI FISIOTERAPIA SRL</t>
  </si>
  <si>
    <t>207,80</t>
  </si>
  <si>
    <t>ASSISTENZA TECNICA 2023 DITTA COSMED</t>
  </si>
  <si>
    <t>1540,00</t>
  </si>
  <si>
    <t>ASSISTENZA TECNICA 2023 DITTA HUPFER ITALIA</t>
  </si>
  <si>
    <t>HUPFER ITALIA</t>
  </si>
  <si>
    <t>541,20</t>
  </si>
  <si>
    <t>6796,50</t>
  </si>
  <si>
    <t>6814,48</t>
  </si>
  <si>
    <t>AB SCIEX srl</t>
  </si>
  <si>
    <t>2953,00</t>
  </si>
  <si>
    <t>ASSISTENZA TECNICA 2023 DITTA GETINGE</t>
  </si>
  <si>
    <t>6654,81</t>
  </si>
  <si>
    <t>EQUALIS SRL</t>
  </si>
  <si>
    <t>738,24</t>
  </si>
  <si>
    <t>6116,00</t>
  </si>
  <si>
    <t>2642,00</t>
  </si>
  <si>
    <t>6227,00</t>
  </si>
  <si>
    <t>FARMAC-ZABBAN S.P.A.cess.fino al 31/08/2008 (mod.1)</t>
  </si>
  <si>
    <t>6018,34</t>
  </si>
  <si>
    <t>4170,00</t>
  </si>
  <si>
    <t>6660,95</t>
  </si>
  <si>
    <t>COPIE AUTENTICHE ORDINANZA CONSIGLIO DI STATO N. 1073/2022 E SPEDIZIONE</t>
  </si>
  <si>
    <t>STUDIO LEGALE ASSOCIATO ARLINI CEFALO</t>
  </si>
  <si>
    <t>32,28</t>
  </si>
  <si>
    <t>INCARICO SOSTITUZIONE UDIENZA - PROCEDIMENTO RG. 9655/2022 CONSIGLIO DI STATO III SEZ.</t>
  </si>
  <si>
    <t>184,37</t>
  </si>
  <si>
    <t>det 134/23 adesione intercenter medicinali e radiofarmaci 2023-2025 lotto 612 703 704 707 709 710 711 723 775 776</t>
  </si>
  <si>
    <t>UCB PHARMA S.P.A.</t>
  </si>
  <si>
    <t>3049671,38</t>
  </si>
  <si>
    <t>477367,75</t>
  </si>
  <si>
    <t>INCARICO DI SOSTITUZIONE UDIENZA - PROCEDIMENTO RG. 8573/2022 CONSIGLIO DI STATO</t>
  </si>
  <si>
    <t>368,74</t>
  </si>
  <si>
    <t>ACQUISTO DETERGENTI PER LAVAFERRI</t>
  </si>
  <si>
    <t>3820,00</t>
  </si>
  <si>
    <t>TERME DI MONTICELLI</t>
  </si>
  <si>
    <t>2300,00</t>
  </si>
  <si>
    <t>797,46</t>
  </si>
  <si>
    <t>TERME DI RIOLO BAGNI S.R.L.</t>
  </si>
  <si>
    <t>25600,00</t>
  </si>
  <si>
    <t>1745,60</t>
  </si>
  <si>
    <t>TERME DI CASTEL SAN PIETRO DELL'EMILIA S.P.A.</t>
  </si>
  <si>
    <t>647000,00</t>
  </si>
  <si>
    <t>113687,76</t>
  </si>
  <si>
    <t>17300,00</t>
  </si>
  <si>
    <t>1478,42</t>
  </si>
  <si>
    <t>TERME DI CERVIA</t>
  </si>
  <si>
    <t>215700,00</t>
  </si>
  <si>
    <t>33749,18</t>
  </si>
  <si>
    <t>MEDICAL THERMAE S.R.L.</t>
  </si>
  <si>
    <t>ASSISTENZA TECNICA 2023 DITTA SINCRONIS</t>
  </si>
  <si>
    <t>SINCRONIS SRL</t>
  </si>
  <si>
    <t>401,28</t>
  </si>
  <si>
    <t>PUBBLICAZIONE SCIENTIFICA - RIVISTA SCIENTIFICA MDPI AG - GASTROENTEROLOGIA PEDIATRICA DOTT.SSA ALVISI PATRIZIA - UTILIZZO FONDI SPERIMENTAZIONI SP 029</t>
  </si>
  <si>
    <t>MDPI AG</t>
  </si>
  <si>
    <t>2620,26</t>
  </si>
  <si>
    <t>ASSISTENZA TECNICA 2023 DITTA DE FRANCHIS</t>
  </si>
  <si>
    <t>DE FRANCHIS SRL</t>
  </si>
  <si>
    <t>340,00</t>
  </si>
  <si>
    <t>L'ONORANZA SNC DI OSIOSCHI E VIGNOLI</t>
  </si>
  <si>
    <t>2586,60</t>
  </si>
  <si>
    <t>KLINICOM S.R.L.CONTO DEDICATO MOD.1</t>
  </si>
  <si>
    <t>4942,00</t>
  </si>
  <si>
    <t>DETE 480 del 20/02/23 PA per la fornitura, installazione e posa in opera di un sistema TC128 strati (oltre a lavori, progettazione e oneri di sicurezza) per le necessitÃ  del Servizio di Radiologia dellâ€™Ospedale Bellaria dellâ€™Azienda USL di Bologna</t>
  </si>
  <si>
    <t>378900,00</t>
  </si>
  <si>
    <t>28400,00</t>
  </si>
  <si>
    <t>5987,89</t>
  </si>
  <si>
    <t>det 134/23 adesione intercenter medicinali e radiofarmaci 2023-2025 lotto 14 518 819</t>
  </si>
  <si>
    <t>ITALFARMACO SpA</t>
  </si>
  <si>
    <t>205819,14</t>
  </si>
  <si>
    <t>31091,58</t>
  </si>
  <si>
    <t>det 134/23 adesione intercenter medicinali e radiofarmaci 2023-2025 lotto 146 167 440</t>
  </si>
  <si>
    <t>GRIFOLS ITALIA S.P.A.</t>
  </si>
  <si>
    <t>169574,60</t>
  </si>
  <si>
    <t>38320,00</t>
  </si>
  <si>
    <t>DET.216/2023 RINNOVO ANNUALE  FORNITURA DI DISPOSITIVI PER STOMIE, IN ESCLUSIVA, COLOPLAST</t>
  </si>
  <si>
    <t>209704,58</t>
  </si>
  <si>
    <t>DET.231/2023 RINNOVO ANNUALE  FORNITURA DI DISPOSITIVI PER STOMIE, IN ESCLUSIVA, CONVATEC</t>
  </si>
  <si>
    <t>15270,08</t>
  </si>
  <si>
    <t>Biagi Mario srl</t>
  </si>
  <si>
    <t>800,00</t>
  </si>
  <si>
    <t>Acquisto contenitori terziari</t>
  </si>
  <si>
    <t>interconsult srl</t>
  </si>
  <si>
    <t>2902,00</t>
  </si>
  <si>
    <t>det 134/23 adesione intercenter medicinali e radiofarmaci 2023-2025 lotto 661</t>
  </si>
  <si>
    <t>14580,00</t>
  </si>
  <si>
    <t>2430,00</t>
  </si>
  <si>
    <t>ACQUISTO MANUALI PER CORSI DI FORMAZIONE BLS E BLS-D</t>
  </si>
  <si>
    <t>IRC EDIZIONI S.R.L.</t>
  </si>
  <si>
    <t>39900,00</t>
  </si>
  <si>
    <t>14663,15</t>
  </si>
  <si>
    <t>DETE 269/23 DM X CHIRURGIA VERTEBRALE Proroga 2023 ZIMVIE</t>
  </si>
  <si>
    <t>ZIMMER DENTAL ITALY SRL  subentra dal 01/10/2022 d</t>
  </si>
  <si>
    <t>83142,58</t>
  </si>
  <si>
    <t>16335,00</t>
  </si>
  <si>
    <t>OSPEDALI PRIVATI FORLI' S.P.A.</t>
  </si>
  <si>
    <t>460000,00</t>
  </si>
  <si>
    <t>127356,92</t>
  </si>
  <si>
    <t>910000,00</t>
  </si>
  <si>
    <t>456343,41</t>
  </si>
  <si>
    <t>DET.2593/22 NOLEGGIO TRIENNALE SISTEMI ANATOMIA PATOLOGICA OM E OB</t>
  </si>
  <si>
    <t>LEICA MICROSYSTEMS SRL</t>
  </si>
  <si>
    <t>78231,00</t>
  </si>
  <si>
    <t>2173,07</t>
  </si>
  <si>
    <t>ACQUISTO ANTISETTICI/DISINFETTANTI</t>
  </si>
  <si>
    <t>det 574/23 adesione intercenter medicinali biologici e biosimilari 2023-2024 lotto 2</t>
  </si>
  <si>
    <t>TECHDOW PHARMA ITALY SRL</t>
  </si>
  <si>
    <t>4787800,00</t>
  </si>
  <si>
    <t>738298,00</t>
  </si>
  <si>
    <t>43000,00</t>
  </si>
  <si>
    <t>2770,92</t>
  </si>
  <si>
    <t>det 574/23 adesione intercenter medicinali biologici e biosimilari 2023-2024 lotto 4</t>
  </si>
  <si>
    <t>68399,98</t>
  </si>
  <si>
    <t>6460,31</t>
  </si>
  <si>
    <t>ACQUISTO LAMPADE CURATIVE PAZIENTE MALATTIA RARA</t>
  </si>
  <si>
    <t>R.EL. S.N.C. DI BONVICINI CLAUDIO</t>
  </si>
  <si>
    <t>1862,50</t>
  </si>
  <si>
    <t>ASSISTENZA TECNICA 2023 DITTA EPPENDORF</t>
  </si>
  <si>
    <t>EPPENDORF S.R.L.</t>
  </si>
  <si>
    <t>ACQUISTO LIBRI DI TESTO PER LE ESIGENZE DEI SERVIZI AZIENDALI</t>
  </si>
  <si>
    <t xml:space="preserve">IMOLA UFFICIO SNC </t>
  </si>
  <si>
    <t>1690,40</t>
  </si>
  <si>
    <t>5774,02</t>
  </si>
  <si>
    <t>DET.583/23-ANTISETTICI E DISINFETTANTI Adesione Intercenter Lotto 21</t>
  </si>
  <si>
    <t>ALLEGRINI S.P.A.</t>
  </si>
  <si>
    <t>35200,00</t>
  </si>
  <si>
    <t>DET.583/23-ANTISETTICI E DISINFETTANTI Adesione Intercenter Lotto 22</t>
  </si>
  <si>
    <t>ERBAGIL S.R.L.</t>
  </si>
  <si>
    <t>48300,00</t>
  </si>
  <si>
    <t>DET.583/23-ANTISETTICI E DISINFETTANTI Adesione Intercenter Lotto 24</t>
  </si>
  <si>
    <t>SYDEX S.P.A.</t>
  </si>
  <si>
    <t>7104,00</t>
  </si>
  <si>
    <t>DET.583/23-ANTISETTICI E DISINFETTANTI Adesione Intercenter Lotto 30</t>
  </si>
  <si>
    <t>4536,00</t>
  </si>
  <si>
    <t>812,00</t>
  </si>
  <si>
    <t>6234,72</t>
  </si>
  <si>
    <t>5851,50</t>
  </si>
  <si>
    <t>5950,63</t>
  </si>
  <si>
    <t>6579,50</t>
  </si>
  <si>
    <t>lipogems international spa</t>
  </si>
  <si>
    <t>5460,00</t>
  </si>
  <si>
    <t>Acquisto di n 1 videolaringoscopio e uno ulteriore in opzione per Anestesia di San Giovanni</t>
  </si>
  <si>
    <t>M.G. Lorenzatto S.r.l.</t>
  </si>
  <si>
    <t>SAGO MEDICA SRL</t>
  </si>
  <si>
    <t>13300,00</t>
  </si>
  <si>
    <t>6650,00</t>
  </si>
  <si>
    <t>Histo-Line Laboratories S.r.L.</t>
  </si>
  <si>
    <t>1678,00</t>
  </si>
  <si>
    <t>SPESA PER BUONI SOSTA DONATORI OSPEDALE S.ORSOLA - ANNO 2023 -</t>
  </si>
  <si>
    <t>No problem parking spa</t>
  </si>
  <si>
    <t>2499,00</t>
  </si>
  <si>
    <t>SPESE TRASPORTO/IMBALLO SANGUE FUORI REGIONE - DITTA COLLEGAMONDO - ACCORDO COMMERCIALE ANNO 2023</t>
  </si>
  <si>
    <t>COLLEGAMONDO S.R.L.</t>
  </si>
  <si>
    <t>6000,75</t>
  </si>
  <si>
    <t>7219,85</t>
  </si>
  <si>
    <t>ACQUISTO TAVOLO MADRE H VARIABILE</t>
  </si>
  <si>
    <t>1504,14</t>
  </si>
  <si>
    <t>ALMO S.A.S. DI TURSELLINO T. &amp; C.</t>
  </si>
  <si>
    <t>RICCIONE SALUTE SRL</t>
  </si>
  <si>
    <t>201,82</t>
  </si>
  <si>
    <t>DETE 269/23 DM X CHIRURGIA VERTEBRALE Proroga 2023 ELISON</t>
  </si>
  <si>
    <t>ELISON SRL</t>
  </si>
  <si>
    <t>13818,55</t>
  </si>
  <si>
    <t>MERCK LIFE SCIENCE S.R.L.</t>
  </si>
  <si>
    <t>5751,67</t>
  </si>
  <si>
    <t>DETE 269/23 DM X CHIRURGIA VERTEBRALE Proroga 2023 GLOBUS</t>
  </si>
  <si>
    <t>GLOBUS MEDICAL ITALY SRL</t>
  </si>
  <si>
    <t>101325,90</t>
  </si>
  <si>
    <t>20246,00</t>
  </si>
  <si>
    <t>DET.583/23-ANTISETTICI E DISINFETTANTI Adesione Intercenter Lotto 32</t>
  </si>
  <si>
    <t>150,00</t>
  </si>
  <si>
    <t>DET.583/23-ANTISETTICI E DISINFETTANTI Adesione Intercenter Lotto 48</t>
  </si>
  <si>
    <t>4468,79</t>
  </si>
  <si>
    <t>Acquisizione di servizio di manutenzione software per licenze BeyondTrust Remote Support come da capitolato</t>
  </si>
  <si>
    <t>S3K S.P.A.</t>
  </si>
  <si>
    <t>13605,48</t>
  </si>
  <si>
    <t>13605,49</t>
  </si>
  <si>
    <t>SOCIETA' ITALIANA CHIMICI R.L.DIVISIONE SCIENTIFICA</t>
  </si>
  <si>
    <t>PRESTAZIONI DI OSSIGENOTERAPIA IPERBARICA - CENTRO IPERBARICO SRL - SEDE DI RAVENNA</t>
  </si>
  <si>
    <t>15802,55</t>
  </si>
  <si>
    <t>5749,00</t>
  </si>
  <si>
    <t>5868,11</t>
  </si>
  <si>
    <t>Acquisto SW Total body Pediatrico per densitrometro San Lazzaro 2023</t>
  </si>
  <si>
    <t>ACQUISTO CARTA/CARTONCINO PER LABORATORIO CENTRO STAMPA</t>
  </si>
  <si>
    <t>F.LLI BIAGINI SRL</t>
  </si>
  <si>
    <t>3789,80</t>
  </si>
  <si>
    <t>4333,39</t>
  </si>
  <si>
    <t>ALLOGA (ITALIA) S.R.L.</t>
  </si>
  <si>
    <t>5319,48</t>
  </si>
  <si>
    <t>ASSISTENZA TECNICA 2023 DITTA MEDI-CARE SOLUTIONS</t>
  </si>
  <si>
    <t>MEDI-CARE SOLUTIONS SRL</t>
  </si>
  <si>
    <t>355,00</t>
  </si>
  <si>
    <t>ACQUISTO ANOSCOPI, RETTOSCOPI ED ALTRI DISPOSITIVI</t>
  </si>
  <si>
    <t>SAPI MED SPA</t>
  </si>
  <si>
    <t>4910,50</t>
  </si>
  <si>
    <t>ASSISTENZA TECNICA 2023 DITTA MEDINOVA</t>
  </si>
  <si>
    <t>MEDINOVA S.R.L.</t>
  </si>
  <si>
    <t>2677,00</t>
  </si>
  <si>
    <t>SERVIZIO TRASPORTO FUNEBRE SALMA DONATORE DI ORGANI</t>
  </si>
  <si>
    <t>ONORANZE FUNEBRI VACCARI ROBERTO &amp; C. SNC</t>
  </si>
  <si>
    <t>SERVICE COAGULOMETRO DA BANCO IN CHEMILUMINESCENZA</t>
  </si>
  <si>
    <t>428360,00</t>
  </si>
  <si>
    <t>72032,00</t>
  </si>
  <si>
    <t>5895,00</t>
  </si>
  <si>
    <t>RIGHELLI ENRICO - CENTRO FISIOKINESITERAPICO</t>
  </si>
  <si>
    <t>C.F.R. CENTRO FISIOTERAPICO RIAB.</t>
  </si>
  <si>
    <t>5272,22</t>
  </si>
  <si>
    <t>866,45</t>
  </si>
  <si>
    <t>C.T.R. CENTRO TERAPIAPIA RIAB.</t>
  </si>
  <si>
    <t>POLIAMBULATORIO PRIVATO KINESIS</t>
  </si>
  <si>
    <t>FISIO-MEDICAL SRL</t>
  </si>
  <si>
    <t>CENTRO MEDICO SANATRIX</t>
  </si>
  <si>
    <t>CENTRO FISIOTERAPICO MARIA LUIGIA - S.R.L.</t>
  </si>
  <si>
    <t>RAVENNA TRENTATRE S.R.L.</t>
  </si>
  <si>
    <t>8437,31</t>
  </si>
  <si>
    <t>FONDAZIONE FLAMINIA AGOPUNTURA</t>
  </si>
  <si>
    <t>DET.573 E 644/2023 RINNOVO ANNUALE FORNITURA DI ALIMENTI DIETETICI</t>
  </si>
  <si>
    <t>NESTLE' ITALIANA S.P.A. IN FORMA ABBREVIATA NE.IT.</t>
  </si>
  <si>
    <t>4752,00</t>
  </si>
  <si>
    <t>ACQUISTO SOTTOSOGLIA PROTESI + 20%</t>
  </si>
  <si>
    <t>4239,89</t>
  </si>
  <si>
    <t>DET.655/2023 LOTTO 1 Fornitura biennale di materiale di consumo dedicato per sequenziatori modelli MISEQ</t>
  </si>
  <si>
    <t>47777,40</t>
  </si>
  <si>
    <t>VEQ 2023 ALLERGOLOGIA INALANTI E ALIMENTI CONTROLLO DI QUALITA'ESTERNA LABORATORIO UNICO METROPOLITANO - DITTA ONEWORLD ACCURACY ITALIA</t>
  </si>
  <si>
    <t>Oneworld Accuracy Italia Srl</t>
  </si>
  <si>
    <t>695,00</t>
  </si>
  <si>
    <t>Kos Care Srl</t>
  </si>
  <si>
    <t>530000,00</t>
  </si>
  <si>
    <t>193021,19</t>
  </si>
  <si>
    <t>HOSPITAL PICCOLE FIGLIE SRL</t>
  </si>
  <si>
    <t>34222,73</t>
  </si>
  <si>
    <t>VILLA IGEA S.P.A.</t>
  </si>
  <si>
    <t>385000,00</t>
  </si>
  <si>
    <t>169830,06</t>
  </si>
  <si>
    <t>CASA DI CURA QUISISANA S.R.L.</t>
  </si>
  <si>
    <t>175000,00</t>
  </si>
  <si>
    <t>109745,13</t>
  </si>
  <si>
    <t>CASA DI CURA SALUS S.R.L.</t>
  </si>
  <si>
    <t>220000,00</t>
  </si>
  <si>
    <t>123728,73</t>
  </si>
  <si>
    <t>5459,37</t>
  </si>
  <si>
    <t>5882,26</t>
  </si>
  <si>
    <t>2486,00</t>
  </si>
  <si>
    <t>ASSISTENZA TECNICA 2023 DITTA HILL ROM</t>
  </si>
  <si>
    <t>HILL-ROM SPA</t>
  </si>
  <si>
    <t>24193,28</t>
  </si>
  <si>
    <t>DPO_Centro socio-occupazionale "C'Entri Anche tu" di Crevalcore (BO) per la gestione di Progetti/Interventi individualizzati a farore di disabili adulti e relativo Trasporto</t>
  </si>
  <si>
    <t>LA PICCOLA CAROVANA - SOCIETA' COOPERATIVA SOCIALE</t>
  </si>
  <si>
    <t>13818,00</t>
  </si>
  <si>
    <t>4935,56</t>
  </si>
  <si>
    <t>MATERIALE DI CONSUMO PER LASER A LUCE VERDE PERTRATTAMENTO PATOLOGIE VITRORETINICHE</t>
  </si>
  <si>
    <t>4560,00</t>
  </si>
  <si>
    <t>SERVIZIO INTERPRETARIATO TELEFONICO HELPVOICE PER LE CENTRALI OPERATIVE 118 E CUR 112 AUSL DI BOLOGNA PERIODO 15.03.2023-14.03.2024</t>
  </si>
  <si>
    <t>Eurostreet SocietÃ  Cooperativa</t>
  </si>
  <si>
    <t>4500,00</t>
  </si>
  <si>
    <t>3562,50</t>
  </si>
  <si>
    <t>ACQUISTO MAT. DI CONSUMO DEDICATO PER ATTREZZATURE ELETTROMEDICALI PHILIPS</t>
  </si>
  <si>
    <t>23074,18</t>
  </si>
  <si>
    <t>ACQUISTO IMBRAGATURA X SOLLEVAMALATI</t>
  </si>
  <si>
    <t>TECNOSAD S.N.C</t>
  </si>
  <si>
    <t>184,00</t>
  </si>
  <si>
    <t>SERVIZIO DI NOLEGGIO EROGATORI ALLACCIATI ALLA RETE IDRICA DA SOTTOLAVELLO</t>
  </si>
  <si>
    <t>15120,00</t>
  </si>
  <si>
    <t>5107,50</t>
  </si>
  <si>
    <t>Canone annuale per hosting (200GB spazio web, 100 caselle email), comprensivo di dominio e certificato SSL per il progetto regionale monitoraggio qualitÃ  della vita delle persone con autismo</t>
  </si>
  <si>
    <t>AB STUDIO</t>
  </si>
  <si>
    <t>200,00</t>
  </si>
  <si>
    <t>4674,20</t>
  </si>
  <si>
    <t>521,00</t>
  </si>
  <si>
    <t>ASSISTENZA TECNICA 2023 DITTA DI DEDDA</t>
  </si>
  <si>
    <t>DI DEDDA S.P.A.</t>
  </si>
  <si>
    <t>505,00</t>
  </si>
  <si>
    <t>5842,06</t>
  </si>
  <si>
    <t>ASSISTENZA TECNICA 2023 DITTA RIMEC ITALY</t>
  </si>
  <si>
    <t>RIMEC ITALY SOCIETA' A RESPONSABILITA' LIMITATA SE</t>
  </si>
  <si>
    <t>170,50</t>
  </si>
  <si>
    <t>det 134/23 adesione intercenter medicinali e radiofarmaci 2023-2025 lotto 1 2 3 351 360</t>
  </si>
  <si>
    <t>308246,52</t>
  </si>
  <si>
    <t>34983,42</t>
  </si>
  <si>
    <t>det 134/23 adesione intercenter medicinali e radiofarmaci 2023-2025 lotto 296 770  811</t>
  </si>
  <si>
    <t>17864,34</t>
  </si>
  <si>
    <t>2567,23</t>
  </si>
  <si>
    <t>ONORANZE FUNEBRI ANSALONI ROBERTO E BIAGI MASSIMILIANO SRL</t>
  </si>
  <si>
    <t>452,00</t>
  </si>
  <si>
    <t>ACQUISTO KIT STRISCE TEST PT/INR PER XPRECIA STRIDE TM</t>
  </si>
  <si>
    <t>SIEMENS HEALTHCARE S.R.L.</t>
  </si>
  <si>
    <t>40000,00</t>
  </si>
  <si>
    <t>5749,54</t>
  </si>
  <si>
    <t>POLIAMBULATORIO PRIVATO DI FISIOKINESITERAPIA E RI</t>
  </si>
  <si>
    <t>142186,00</t>
  </si>
  <si>
    <t>36943,85</t>
  </si>
  <si>
    <t>CORCOVADO S.R.L.</t>
  </si>
  <si>
    <t>327434,00</t>
  </si>
  <si>
    <t>79728,69</t>
  </si>
  <si>
    <t>CENTRO HERCOLANI - S.R.L.</t>
  </si>
  <si>
    <t>429867,00</t>
  </si>
  <si>
    <t>116811,93</t>
  </si>
  <si>
    <t>ARS ORTOPEDICA S.R.L. (EX POLIAMB. FORNI ) 1/1/18</t>
  </si>
  <si>
    <t>47607,00</t>
  </si>
  <si>
    <t>15090,90</t>
  </si>
  <si>
    <t>Laboratorio SYNLAB MED srl</t>
  </si>
  <si>
    <t>3741786,00</t>
  </si>
  <si>
    <t>1258016,39</t>
  </si>
  <si>
    <t>MEDIPASS S.R.L.</t>
  </si>
  <si>
    <t>537296,00</t>
  </si>
  <si>
    <t>277150,70</t>
  </si>
  <si>
    <t>5860,00</t>
  </si>
  <si>
    <t>2325,00</t>
  </si>
  <si>
    <t>5572,00</t>
  </si>
  <si>
    <t>ADESIONE CONVENZIONE INTERCENT-NOLEGGIO MATERASSI ANTIDECUBITO 4-LOTTO 1 PER AUSLBO-DET. 688 DEL 13.3.2023</t>
  </si>
  <si>
    <t>760000,00</t>
  </si>
  <si>
    <t>6562,60</t>
  </si>
  <si>
    <t>ACQUISTO SCHERMI FACCIALI PER LA PROTEZIONE DEL PERSONALE DIPENDENTE</t>
  </si>
  <si>
    <t>CEMAX BIOMEDICAL TECHNOLOGIES DI MASSIMO CERVI</t>
  </si>
  <si>
    <t>1643,00</t>
  </si>
  <si>
    <t>det 134/23 adesione convenzione intercenter medicinali e radiofarmaci 2023-2025 - lotto 110 AMICUS THERAPEUTICS S.R.L.</t>
  </si>
  <si>
    <t xml:space="preserve">		AMICUS THERAPEUTICS S.R.L.</t>
  </si>
  <si>
    <t>1137947,09</t>
  </si>
  <si>
    <t>272050,10</t>
  </si>
  <si>
    <t>5272,05</t>
  </si>
  <si>
    <t>Servizi di manutenzione e assistenza su SW in uso in AUSLBO - RDO Consip 3355905 Canone licenza e servizi di manutenzione sistema QUANI SDO come da capitolato</t>
  </si>
  <si>
    <t>BIM ITALIA SRL</t>
  </si>
  <si>
    <t>9000,00</t>
  </si>
  <si>
    <t>det 134/23 adesione intercenter medicinali e radiofarmaci 2023-2025 lotto 532 546 548 690 691 698 699 708</t>
  </si>
  <si>
    <t>EISAI srl</t>
  </si>
  <si>
    <t>1124539,58</t>
  </si>
  <si>
    <t>161614,69</t>
  </si>
  <si>
    <t>det 134/23 adesione intercenter medicinali e radiofarmaci 2023-2025 lotto 340 366 396 398 411 412 414 415 416 422 423 424 486 554 554</t>
  </si>
  <si>
    <t>1462659,95</t>
  </si>
  <si>
    <t>366448,58</t>
  </si>
  <si>
    <t>det 134/23 adesione intercenter medicinali e radiofarmaci 2023-2025 lotto 482</t>
  </si>
  <si>
    <t>Incyte Biosciences Italy S.r.l.</t>
  </si>
  <si>
    <t>226091,40</t>
  </si>
  <si>
    <t>ASSISTENZA TECNICA 2023 DITTA CER MEDICAL</t>
  </si>
  <si>
    <t>CER MEDICAL srl</t>
  </si>
  <si>
    <t>154,50</t>
  </si>
  <si>
    <t>DET 229/23 Contratto Ponte farmaci esclusivi TUKYSA</t>
  </si>
  <si>
    <t>80787,42</t>
  </si>
  <si>
    <t>det 134/23 adesione intercenter medicinali e radiofarmaci 2023-2025 lotto 454 460 911</t>
  </si>
  <si>
    <t>LIPOMED GMBH</t>
  </si>
  <si>
    <t>2388,19</t>
  </si>
  <si>
    <t>450,02</t>
  </si>
  <si>
    <t>2026,00</t>
  </si>
  <si>
    <t>LELLI SRL IMPRESA FUNEBRE DEIF.LLI LELLI</t>
  </si>
  <si>
    <t>652,00</t>
  </si>
  <si>
    <t>Det.721/2023 Contratto ponte fornitura Guanti monouso non sterili per attivitÃ  assistenziale in vinile</t>
  </si>
  <si>
    <t>192000,00</t>
  </si>
  <si>
    <t>123168,00</t>
  </si>
  <si>
    <t>ACQUISTO BATTERIE DATALOGGER</t>
  </si>
  <si>
    <t>SINTESY SRL</t>
  </si>
  <si>
    <t>390,00</t>
  </si>
  <si>
    <t>LP ITALIANA SPA</t>
  </si>
  <si>
    <t>3420,98</t>
  </si>
  <si>
    <t>DET.742/23-STENT BEGRAFT CONTRATTO PONTE</t>
  </si>
  <si>
    <t>BIO-OPTICA MILANO SPA</t>
  </si>
  <si>
    <t>5957,69</t>
  </si>
  <si>
    <t>affidamento diretto protesi vascolari medicate Propaten</t>
  </si>
  <si>
    <t>W.L.GORE E ASSOCIATI S.R.L.</t>
  </si>
  <si>
    <t>EPREDIA ITALY SRL</t>
  </si>
  <si>
    <t>DETE 269/23 DM X CHIRURGIA VERTEBRALE Proroga 2023 J&amp;J</t>
  </si>
  <si>
    <t>27401,61</t>
  </si>
  <si>
    <t>31519,20</t>
  </si>
  <si>
    <t>NOLEGGIO EROGATORI D'ACQUA ALLACCIATI ALLA RETE IDRICA, ACQUISTO ACQUA IN BOCCIONI E MNUTENZIONE EROGATORI DI PROPRIETA' DELL'AUSL</t>
  </si>
  <si>
    <t>BLU SERVICE S.R.L.</t>
  </si>
  <si>
    <t>4054,01</t>
  </si>
  <si>
    <t>ASSISTENZA TECNICA 2023 DITTA ZOLL MEDICAL ITALIA</t>
  </si>
  <si>
    <t>522,78</t>
  </si>
  <si>
    <t>ACQ. MATERIALE DEDICATO PER ELETTROBISTURI ERBE</t>
  </si>
  <si>
    <t>ERBE ITALIA SRL</t>
  </si>
  <si>
    <t>253,65</t>
  </si>
  <si>
    <t>S.I.F.I.</t>
  </si>
  <si>
    <t>1423,65</t>
  </si>
  <si>
    <t>ARMAROLI-TAROZZI srl UNIPERSONALE</t>
  </si>
  <si>
    <t>602,00</t>
  </si>
  <si>
    <t>1204,00</t>
  </si>
  <si>
    <t>DET. N. 717 DEL 15/03/2023 RINNOVO SERVICE SISTEMI LITOTRISSSIA PER AUSLBO E AOUBO</t>
  </si>
  <si>
    <t>55500,00</t>
  </si>
  <si>
    <t>3700,00</t>
  </si>
  <si>
    <t>DET.741/2023 CONTRATTO PONTE FORNITURA DI MATERIALE PER MEDICAZIONE AVANZATA 2 â€œIN CONCORRENZAâ€</t>
  </si>
  <si>
    <t>86214,45</t>
  </si>
  <si>
    <t>24046,78</t>
  </si>
  <si>
    <t>Acquisizione Personal Computer DELL 5400 AIO Touch-screen per Anatomia Patologica OM come da capitolato</t>
  </si>
  <si>
    <t>1020,00</t>
  </si>
  <si>
    <t>Serf srl</t>
  </si>
  <si>
    <t>6881,60</t>
  </si>
  <si>
    <t>CIG DERIVATO LOTTO 3 - SOLCO RAVENNA</t>
  </si>
  <si>
    <t>83548,50</t>
  </si>
  <si>
    <t>36578,22</t>
  </si>
  <si>
    <t>CIG DERIVATO LOTTO 3 - PROGES</t>
  </si>
  <si>
    <t>PROGES  SOC. COOP.VA SOCIALE</t>
  </si>
  <si>
    <t>748980,00</t>
  </si>
  <si>
    <t>315328,00</t>
  </si>
  <si>
    <t>CIG DERIVATO LOTTO 4 - L'OASI</t>
  </si>
  <si>
    <t>L'OASI SocietÃ  Cooperativa Sociale</t>
  </si>
  <si>
    <t>57670,00</t>
  </si>
  <si>
    <t>3948,42</t>
  </si>
  <si>
    <t>CIG DERIVATO LOTTO 5 - GENERAZIONI</t>
  </si>
  <si>
    <t>106105,50</t>
  </si>
  <si>
    <t>45421,48</t>
  </si>
  <si>
    <t>ASSISTENZA TECNICA 2023 DITTA E. MEDICAL</t>
  </si>
  <si>
    <t>E.MEDICAL SRL</t>
  </si>
  <si>
    <t>RDO Consip 3225279 - Manutenzione, aggiornamenti ed helpdesk su Software MAP-W - Sistema informativo per la gestione flotta veicoli aziendali (vers. Web)</t>
  </si>
  <si>
    <t>PROVECO SRL</t>
  </si>
  <si>
    <t>2544,00</t>
  </si>
  <si>
    <t>636,00</t>
  </si>
  <si>
    <t>ACQUISTO ELETTRODI PER ECG MONOUSO NELLE MORE IN ATTESA DI RINNOVO GARA - PI021317-23</t>
  </si>
  <si>
    <t>28335,38</t>
  </si>
  <si>
    <t>28267,42</t>
  </si>
  <si>
    <t>103,50</t>
  </si>
  <si>
    <t>det 134/23 adesione intercenter medicinali e radiofarmaci 2023-2025 lotto 652 653 672</t>
  </si>
  <si>
    <t>Abiogen Pharma Spa</t>
  </si>
  <si>
    <t>28414,91</t>
  </si>
  <si>
    <t>4618,70</t>
  </si>
  <si>
    <t>Acquisto Telo Angiografico Monotelo - C/EC  1001300101</t>
  </si>
  <si>
    <t>2520,00</t>
  </si>
  <si>
    <t>ORIGENE TECHNOLOGIES GMBH</t>
  </si>
  <si>
    <t>2192,30</t>
  </si>
  <si>
    <t>6030,00</t>
  </si>
  <si>
    <t>MEDIFIX SRL</t>
  </si>
  <si>
    <t>6890,55</t>
  </si>
  <si>
    <t>ACQUISTO CARRELLI</t>
  </si>
  <si>
    <t>3895,00</t>
  </si>
  <si>
    <t>ACCESSORI CONTAINER E MATERIALE DI CONSUMO PER STERILIZZAZIONE</t>
  </si>
  <si>
    <t>4868,90</t>
  </si>
  <si>
    <t>ACQUISTO MATERIALE VARIO DI CONVIVENZA E PULIZIA</t>
  </si>
  <si>
    <t>VENTURA ELETTRODOMESTICI SRLC/DED MOD.2</t>
  </si>
  <si>
    <t>1493,61</t>
  </si>
  <si>
    <t>COMEDICAL SAS</t>
  </si>
  <si>
    <t>39999,00</t>
  </si>
  <si>
    <t>DET.150/2023 FORNITURA, IN VENTIQUATTRO LOTTI DISTINTI, DI SENSORI, MONOPAZIENTE E RIUTILIZZABILI, PER IL MONITORAGGIO NON INVASIVO DELLA SATURAZIONE ARTERIOSA DI OSSIGENO (SPO2) E RELATIVI ACCESSORI. LOTTO 10</t>
  </si>
  <si>
    <t>Pollution hospital S.r.l.</t>
  </si>
  <si>
    <t>6608,00</t>
  </si>
  <si>
    <t>DET.150/2023 FORNITURA, IN VENTIQUATTRO LOTTI DISTINTI, DI SENSORI, MONOPAZIENTE E RIUTILIZZABILI, PER IL MONITORAGGIO NON INVASIVO DELLA SATURAZIONE ARTERIOSA DI OSSIGENO (SPO2) E RELATIVI ACCESSORI. LOTTO 11</t>
  </si>
  <si>
    <t>9060,00</t>
  </si>
  <si>
    <t>ASSISTENZA TECNICA 2023 DITTA REL</t>
  </si>
  <si>
    <t>346,68</t>
  </si>
  <si>
    <t>PRODOTTI GIANNI SRL</t>
  </si>
  <si>
    <t>5080,00</t>
  </si>
  <si>
    <t>ACQUISTO MATERIALE DI CANCELLERIA/ARCHIVIAZIONE VARIA</t>
  </si>
  <si>
    <t>G.B. CARTA CANCELLERIA SRLDED. 1</t>
  </si>
  <si>
    <t>CISCRA SPA</t>
  </si>
  <si>
    <t>22664,53</t>
  </si>
  <si>
    <t>12871,49</t>
  </si>
  <si>
    <t>6047,46</t>
  </si>
  <si>
    <t>ASSISTENZA TECNICA 2023 DITTA COBAMS</t>
  </si>
  <si>
    <t>COBAMS S.R.L.C/DED MOD.1</t>
  </si>
  <si>
    <t>78,08</t>
  </si>
  <si>
    <t>Acquisto membrane osmosi autoclave</t>
  </si>
  <si>
    <t>ECOPLUS S.R.L.</t>
  </si>
  <si>
    <t>1152,00</t>
  </si>
  <si>
    <t>CASA DI CURA PRIVATA S. ANTONINO SR</t>
  </si>
  <si>
    <t>CASA DI CURA PRIVATA SAN GIACOMO S.R.L.</t>
  </si>
  <si>
    <t>6827,28</t>
  </si>
  <si>
    <t>CASA DI CURA CITTA' DI PARMA S.P.A.</t>
  </si>
  <si>
    <t>59000,00</t>
  </si>
  <si>
    <t>Acquisto Articoli Di Laboratorio E Vetreria</t>
  </si>
  <si>
    <t>4868,40</t>
  </si>
  <si>
    <t>115518,00</t>
  </si>
  <si>
    <t>52860,04</t>
  </si>
  <si>
    <t>39600,00</t>
  </si>
  <si>
    <t>det 134/23 adesione intercenter medicinali e radiofarmaci 2023-2025 lotto 44 48 49 52 93 95 96 108 118 120 188 203 215 218 233 461 519 550 600 603 624 645 684 692 693 694 731 774  913 914 915 922 925</t>
  </si>
  <si>
    <t>675535,20</t>
  </si>
  <si>
    <t>1092577,67</t>
  </si>
  <si>
    <t>MEMO SRL</t>
  </si>
  <si>
    <t>CITTA' DELLA SALUTE S.A.S. DI CORVINO RENATO &amp; C</t>
  </si>
  <si>
    <t>CENTRO DI MEDICINA S.P.A.</t>
  </si>
  <si>
    <t>DET.701/23-MATERIALE CONSUMO SIST.ROBOTICI DA VINCI -RINNOVO</t>
  </si>
  <si>
    <t>1116424,94</t>
  </si>
  <si>
    <t>DPE - NUVOLETTA BIANCA ANNO 2023</t>
  </si>
  <si>
    <t>LA FRATERNITA SOCIETA COOPERATIVA SOCIALE A R.L.</t>
  </si>
  <si>
    <t>6901,02</t>
  </si>
  <si>
    <t>DPE - CSO DIVERSAMENTE GENI ANNO 2023</t>
  </si>
  <si>
    <t>2A Socialâ€ SocietÃ  Cooperativa Sociale</t>
  </si>
  <si>
    <t>3006,08</t>
  </si>
  <si>
    <t>ACQUISTO MATERIALE CONVIVENZA/CASALINGHI  PER ESIGENZE SERVIZI</t>
  </si>
  <si>
    <t>MOP S.R.L. - IPERMOPCONTO DEDICATO MOD.16</t>
  </si>
  <si>
    <t>1574,63</t>
  </si>
  <si>
    <t>5680,98</t>
  </si>
  <si>
    <t>2850,00</t>
  </si>
  <si>
    <t>RIMINITERME S.P.A.</t>
  </si>
  <si>
    <t>POLIAMBULATORIO DALLA ROSA PRATI S.R.L.</t>
  </si>
  <si>
    <t>TEST S.R.L.</t>
  </si>
  <si>
    <t>ALLIANCE MEDICAL DIAGNOSTIC SRL</t>
  </si>
  <si>
    <t>1329,31</t>
  </si>
  <si>
    <t>3842,35</t>
  </si>
  <si>
    <t>ADESIONE CONVENZIONE INTERCENT-NOLEGGIO MATERASSI ANTIDECUBITO 4-LOTTO 2 PER AUSLBO-DET.688 DEL 13.3.2023</t>
  </si>
  <si>
    <t>Zuccato HC S.R.L.</t>
  </si>
  <si>
    <t>1634175,00</t>
  </si>
  <si>
    <t>14263,30</t>
  </si>
  <si>
    <t>ADESIONE CONVENZIONE INTERCENT-NOLEGGIO MATERASSI ANTIDECUBITO 4-LOTTO 3 PER AUSLBO-DET.688 DEL 13.03.2023</t>
  </si>
  <si>
    <t>825,00</t>
  </si>
  <si>
    <t>DET 30/2023 â€“ Rinnovo contratto lotto 3) Procedura Aperta PI241681-19 Conclusione di un accordo quadro per la coprogettazione e la cogestione di PTRP con BdS e di Progetti di Attivita di comunita per il DSM-DP</t>
  </si>
  <si>
    <t>199000,00</t>
  </si>
  <si>
    <t>Erogazione dei servizi elaborativi di accesso ai dati del registro Imprese e del Registro Protesti (TELEMACO) Opzione A Fascia 2 (fino a 4500 operazioni/anno) anno 2023</t>
  </si>
  <si>
    <t>INFOCAMERE S.C.P.A.</t>
  </si>
  <si>
    <t>2220,00</t>
  </si>
  <si>
    <t>ADESIONE CONVENZIONE INTERCENT-NOLEGGIO MATERASSI ANTIDECUBITO 4-LOTTO 4 PER AUSLBO-DET. 688 DEL 13.03.2023</t>
  </si>
  <si>
    <t>17338,00</t>
  </si>
  <si>
    <t>DPO_Progetto personalizzato rivolto ad un adulto disabile c/o Gruppo Appartamento "Altius" fino al 31/12/2023_CIG derivato Ausl Bologna</t>
  </si>
  <si>
    <t>82656,00</t>
  </si>
  <si>
    <t>29664,00</t>
  </si>
  <si>
    <t>Lohmann &amp; Rauscher</t>
  </si>
  <si>
    <t>4378,82</t>
  </si>
  <si>
    <t>5938,00</t>
  </si>
  <si>
    <t>POLIFARMA SPA</t>
  </si>
  <si>
    <t>3652,00</t>
  </si>
  <si>
    <t>162087,00</t>
  </si>
  <si>
    <t>35251,40</t>
  </si>
  <si>
    <t>CIG DERIVATO LOTTO 3 - SOLCOSALUTE S.C.S.</t>
  </si>
  <si>
    <t>COOPERATIVA SOCIALE SOLCOSALUTE S.C.S.</t>
  </si>
  <si>
    <t>83220,00</t>
  </si>
  <si>
    <t>32044,83</t>
  </si>
  <si>
    <t>VILLA ERBOSA S.P.A.</t>
  </si>
  <si>
    <t>28010000,00</t>
  </si>
  <si>
    <t>19867004,89</t>
  </si>
  <si>
    <t>575000,00</t>
  </si>
  <si>
    <t>286565,21</t>
  </si>
  <si>
    <t>CASA DI CURA PRIVATA MALATESTA NOVELLO - SOCIETA'</t>
  </si>
  <si>
    <t>500000,00</t>
  </si>
  <si>
    <t>208289,13</t>
  </si>
  <si>
    <t>CASA DI CURA PRIV.SAN LORENZINO SPA</t>
  </si>
  <si>
    <t>145000,00</t>
  </si>
  <si>
    <t>42258,13</t>
  </si>
  <si>
    <t>CASA DI CURA VILLA MARIA - SOCIETA' PER AZIONI</t>
  </si>
  <si>
    <t>28369,06</t>
  </si>
  <si>
    <t>CASA DI CURA PRIV.PROF.E.MONTANARI SPA</t>
  </si>
  <si>
    <t>48000,00</t>
  </si>
  <si>
    <t>7285,17</t>
  </si>
  <si>
    <t>MARIA LUIGIA - SOCIETA' PER AZIONI</t>
  </si>
  <si>
    <t>235000,00</t>
  </si>
  <si>
    <t>110795,91</t>
  </si>
  <si>
    <t>FONDAZ.DON CARLO GNOCCHI CENTRO SAN</t>
  </si>
  <si>
    <t>15946,24</t>
  </si>
  <si>
    <t>5980,00</t>
  </si>
  <si>
    <t>4868,37</t>
  </si>
  <si>
    <t>ACQUISTODIAGNOSTICI</t>
  </si>
  <si>
    <t>5700,00</t>
  </si>
  <si>
    <t>ACQUISTO PORTESI</t>
  </si>
  <si>
    <t>47998,80</t>
  </si>
  <si>
    <t>56175,00</t>
  </si>
  <si>
    <t>SERVIZIO DI TRRASPORTO FUNEBRE SALMA DONATORE DI ORGANI</t>
  </si>
  <si>
    <t>MONCATINI S.N.C. DI ALBERTO MONCATINI &amp; C.</t>
  </si>
  <si>
    <t>582,00</t>
  </si>
  <si>
    <t>176943,25</t>
  </si>
  <si>
    <t>61973,10</t>
  </si>
  <si>
    <t>DT 270/23 - Cateteri venosi ed arteriosi e periferici, dm fissaggio ed altri cateteri per accesso vascolare more conclusione gara AVEC</t>
  </si>
  <si>
    <t>5623,00</t>
  </si>
  <si>
    <t>80873,68</t>
  </si>
  <si>
    <t>18560,00</t>
  </si>
  <si>
    <t>3770,10</t>
  </si>
  <si>
    <t>DETE 269/23 DM X CHIRURGIA VERTEBRALE Proroga 2023 NUVASIVE</t>
  </si>
  <si>
    <t>25225,16</t>
  </si>
  <si>
    <t>29387,00</t>
  </si>
  <si>
    <t>DETE 269/23 DM X CHIRURGIA VERTEBRALE Proroga 2023 SPINE</t>
  </si>
  <si>
    <t>SPINEVISION ITALIA S.R.L.</t>
  </si>
  <si>
    <t>1387,40</t>
  </si>
  <si>
    <t>DETE 269/23 DM X CHIRURGIA VERTEBRALE Proroga 2023 STRYKER</t>
  </si>
  <si>
    <t>113983,18</t>
  </si>
  <si>
    <t>108477,70</t>
  </si>
  <si>
    <t>DETE 269/23 DM X CHIRURGIA VERTEBRALE Proroga 202 THI</t>
  </si>
  <si>
    <t>THI Total Healthcare Innovation Srl</t>
  </si>
  <si>
    <t>84720,95</t>
  </si>
  <si>
    <t>100432,85</t>
  </si>
  <si>
    <t>DETE 269/23 DM X CHIRURGIA VERTEBRALE Proroga 2023 UBER ROS</t>
  </si>
  <si>
    <t>UBER ROS  S.P.A.</t>
  </si>
  <si>
    <t>6035,04</t>
  </si>
  <si>
    <t>Acquisto nÂ°8 (otto) batterie sostitutive per lettori ZEBRA DS8178 (BTRY-DS81EAB0E-00)</t>
  </si>
  <si>
    <t>560,00</t>
  </si>
  <si>
    <t>Acquisto scanner fronte-retro a fogli multipli come da capitolato</t>
  </si>
  <si>
    <t>8375,00</t>
  </si>
  <si>
    <t>DIS- KEDOS CADIAI CRA PARCO DEL NAVILE 2023</t>
  </si>
  <si>
    <t>CONSORZIO COOPERATIVO SOCIALE KEDOS</t>
  </si>
  <si>
    <t>29924,16</t>
  </si>
  <si>
    <t>2925,14</t>
  </si>
  <si>
    <t>4589,00</t>
  </si>
  <si>
    <t>SERVIZIO DI TRACCIAMENTO E CERTIFICAZIONE DATI - PROGETTO BIKE TO WORK</t>
  </si>
  <si>
    <t>FB INNOVATION SRL</t>
  </si>
  <si>
    <t>4950,00</t>
  </si>
  <si>
    <t>DIC IL MARTIN PESCATORE SOCIETA' COOPERATIVA SOCIALE ONLUS (GRUPPO APPARTAMENTO MERCADANTE) INSERIMENTO DISABILI PERIODO 2023-2024</t>
  </si>
  <si>
    <t>MARTIN PESCATORE SOC.COOP. SOCIALE</t>
  </si>
  <si>
    <t>67627,20</t>
  </si>
  <si>
    <t>13540,88</t>
  </si>
  <si>
    <t>CERVAREZZA HOLIDAYS S.A.S. DI ROMEI GIANCARLA &amp; C.</t>
  </si>
  <si>
    <t>UNIPHARMA SA</t>
  </si>
  <si>
    <t>6427,02</t>
  </si>
  <si>
    <t>Acquisto materiale Catalogo originale Frese Komet</t>
  </si>
  <si>
    <t>21518,50</t>
  </si>
  <si>
    <t>8497,84</t>
  </si>
  <si>
    <t>MARCONI SRL</t>
  </si>
  <si>
    <t>576399,00</t>
  </si>
  <si>
    <t>173637,94</t>
  </si>
  <si>
    <t>OXFORD NANOPORE TECHNOLOGIES, LTD</t>
  </si>
  <si>
    <t>4392,00</t>
  </si>
  <si>
    <t>4461,23</t>
  </si>
  <si>
    <t>ACQUISTO MANOPOLE SAPONATE PAZIENTI OSPEDALIERI</t>
  </si>
  <si>
    <t>MEDICAL SAN DI MARCOGIUSEPPE FRANCESCA</t>
  </si>
  <si>
    <t>18360,00</t>
  </si>
  <si>
    <t>5967,00</t>
  </si>
  <si>
    <t>ALK ABELLO' S.P.A.</t>
  </si>
  <si>
    <t>2093,52</t>
  </si>
  <si>
    <t>5227,65</t>
  </si>
  <si>
    <t>4609,16</t>
  </si>
  <si>
    <t>6199,00</t>
  </si>
  <si>
    <t>66331,70</t>
  </si>
  <si>
    <t>17986,24</t>
  </si>
  <si>
    <t>det 134/23 adesione intercenter medicinali e radiofarmaci 2023-2025 lotto 6 555 611 647 719 833 872 877 878 885 900 901</t>
  </si>
  <si>
    <t>1982852,22</t>
  </si>
  <si>
    <t>321989,79</t>
  </si>
  <si>
    <t>ABBVIE S.r.l.</t>
  </si>
  <si>
    <t>SERVICE DISPOSITIVI PER L'ANALISI DELL'EMOSTASI SU SANGUE INTERO TROMBOELASTOGRAMMA</t>
  </si>
  <si>
    <t>267900,00</t>
  </si>
  <si>
    <t>18715,95</t>
  </si>
  <si>
    <t>Acquisto di n 1 miscelatore per i laboratori IRCCS 2023</t>
  </si>
  <si>
    <t>1809,44</t>
  </si>
  <si>
    <t>Acquisto di n.1 Poltrona operatoria ORL per Att. Amb. Mengoli 2023</t>
  </si>
  <si>
    <t>COLUMBUS SRL</t>
  </si>
  <si>
    <t>1028,03</t>
  </si>
  <si>
    <t>SERVIZIO DI TRASPORTO ORGANI DITTA SLAM LAVORI AEREI SRL - AUTORIZZ CENTRO REGIONALE TRAPIANTI EMILIA ROMAGNA</t>
  </si>
  <si>
    <t>SLAM LAVORI AEREI SRL</t>
  </si>
  <si>
    <t>8500,00</t>
  </si>
  <si>
    <t>CONVENZIONE INTERCENT-AUSILI PER MOBILITA' DISABILI-LOTTO 1-DET. 297 DEL 3.2.2023</t>
  </si>
  <si>
    <t>Barbieri Srl</t>
  </si>
  <si>
    <t>13350,00</t>
  </si>
  <si>
    <t>7449,30</t>
  </si>
  <si>
    <t>CONVENZIONE INTERCENT-AUSILI PER MOBILITA' DISABILI  LOTTO 3-DET. 297 DEL 3.2.2023</t>
  </si>
  <si>
    <t>156030,00</t>
  </si>
  <si>
    <t>CONVENZIONE INTERCENT AUSILI PER LA MOBILITA DEI DISABILI -LOTTO 6-DET. 297 DEL 3.2.2023</t>
  </si>
  <si>
    <t>10413,00</t>
  </si>
  <si>
    <t>acquisto pacchetto riviste e banche dati per auslbo</t>
  </si>
  <si>
    <t>EDRA LSWR SRL</t>
  </si>
  <si>
    <t>9304,00</t>
  </si>
  <si>
    <t>9304,33</t>
  </si>
  <si>
    <t>acquisto pacchetti riviste e banche dati-det. 3401 del 30.12.2022</t>
  </si>
  <si>
    <t>216543,00</t>
  </si>
  <si>
    <t>216280,56</t>
  </si>
  <si>
    <t>ACQUSITO DISPOSITIVI MEDICI</t>
  </si>
  <si>
    <t>6220,50</t>
  </si>
  <si>
    <t>5470,00</t>
  </si>
  <si>
    <t>7011,35</t>
  </si>
  <si>
    <t>ASSISTENZA TECNICA 2023 DITTA MORGAN ITALIA</t>
  </si>
  <si>
    <t>MORGAN ITALIA SRL</t>
  </si>
  <si>
    <t>det 134/23 adesione intercenter medicinali e radiofarmaci 2023-2025 lotto</t>
  </si>
  <si>
    <t>2053174,09</t>
  </si>
  <si>
    <t>587604,82</t>
  </si>
  <si>
    <t>DET.150/2023 FORNITURA, IN VENTIQUATTRO LOTTI DISTINTI, DI SENSORI, MONOPAZIENTE E RIUTILIZZABILI, PER IL MONITORAGGIO NON INVASIVO DELLA SATURAZIONE ARTERIOSA DI OSSIGENO (SPO2) E RELATIVI ACCESSORI. LOTTO 4</t>
  </si>
  <si>
    <t>44160,00</t>
  </si>
  <si>
    <t>3840,00</t>
  </si>
  <si>
    <t>DET.150/2023 FORNITURA, IN VENTIQUATTRO LOTTI DISTINTI, DI SENSORI, MONOPAZIENTE E RIUTILIZZABILI, PER IL MONITORAGGIO NON INVASIVO DELLA SATURAZIONE ARTERIOSA DI OSSIGENO (SPO2) E RELATIVI ACCESSORI. LOTTO 14</t>
  </si>
  <si>
    <t>MEDICAIR CENTRO S.r.l.</t>
  </si>
  <si>
    <t>13812,00</t>
  </si>
  <si>
    <t>DET.150/2023 FORNITURA, IN VENTIQUATTRO LOTTI DISTINTI, DI SENSORI, MONOPAZIENTE E RIUTILIZZABILI, PER IL MONITORAGGIO NON INVASIVO DELLA SATURAZIONE ARTERIOSA DI OSSIGENO (SPO2) E RELATIVI ACCESSORI. LOTTO 15</t>
  </si>
  <si>
    <t>14280,00</t>
  </si>
  <si>
    <t>434,00</t>
  </si>
  <si>
    <t>DET.150/2023 FORNITURA, IN VENTIQUATTRO LOTTI DISTINTI, DI SENSORI, MONOPAZIENTE E RIUTILIZZABILI, PER IL MONITORAGGIO NON INVASIVO DELLA SATURAZIONE ARTERIOSA DI OSSIGENO (SPO2) E RELATIVI ACCESSORI. LOTTO 16</t>
  </si>
  <si>
    <t>1150,00</t>
  </si>
  <si>
    <t>5262,24</t>
  </si>
  <si>
    <t>ASSISTENZA TECNICA  2023 DITTA SERVICE 1</t>
  </si>
  <si>
    <t>SERVICE1 S.R.L.</t>
  </si>
  <si>
    <t>19890,00</t>
  </si>
  <si>
    <t>SERVIZIO MANUTENZIONE ORDINARIA CELLE FRIGORIFERE CAMERE MORTUARIE TERRITORIO</t>
  </si>
  <si>
    <t>6135,00</t>
  </si>
  <si>
    <t>MASS MEDICA S.R.L.</t>
  </si>
  <si>
    <t>4738,20</t>
  </si>
  <si>
    <t>5926,56</t>
  </si>
  <si>
    <t>5560,00</t>
  </si>
  <si>
    <t>ASSISTENZA TECNICA 2023 DITTA FAVERO</t>
  </si>
  <si>
    <t>FAVERO HEALTH PROJECTS S.P.A.</t>
  </si>
  <si>
    <t>68,98</t>
  </si>
  <si>
    <t>24969,82</t>
  </si>
  <si>
    <t>25000,00</t>
  </si>
  <si>
    <t>4505,00</t>
  </si>
  <si>
    <t>56647,20</t>
  </si>
  <si>
    <t>5889,01</t>
  </si>
  <si>
    <t>5876,18</t>
  </si>
  <si>
    <t>Servizio FR mammografi IMS anno 2023 IMS</t>
  </si>
  <si>
    <t>IMS GIOTTO SPA</t>
  </si>
  <si>
    <t>10552,50</t>
  </si>
  <si>
    <t>ACQUISTO N. 10 COPIE "QUADERNO N. 1 - SALARIO ACCESSORIO NEI CONTRATTI SSN"</t>
  </si>
  <si>
    <t>Sempre Formazione srls</t>
  </si>
  <si>
    <t>266,34</t>
  </si>
  <si>
    <t>ASSISTENZA TECNICA 2023 DITTA MEDICAL SERVICE</t>
  </si>
  <si>
    <t>6375,00</t>
  </si>
  <si>
    <t>DET. 690/2023 Proroga tecnica service sistemi biopsia mammaria AuslBo</t>
  </si>
  <si>
    <t xml:space="preserve">DEVICOR MEDICAL ITALY S.R.L. </t>
  </si>
  <si>
    <t>75795,39</t>
  </si>
  <si>
    <t>88629,35</t>
  </si>
  <si>
    <t>ACQUISTO MATERIALE DI CONSUMO ENDOSCOPIA OLYMPUS</t>
  </si>
  <si>
    <t>4978,90</t>
  </si>
  <si>
    <t>5747,36</t>
  </si>
  <si>
    <t>6037,15</t>
  </si>
  <si>
    <t>33881,14</t>
  </si>
  <si>
    <t>6035,00</t>
  </si>
  <si>
    <t>6970,01</t>
  </si>
  <si>
    <t>ACQUISTO SPLINT DOCCE NASALI</t>
  </si>
  <si>
    <t>2196,00</t>
  </si>
  <si>
    <t>Servizio trasporti sanitari Pubbliche Assistenze aderenti ANPAS accreditate nella Provincia di Bologna</t>
  </si>
  <si>
    <t>PUBBLICA ASSISTENZA CREVALCORE</t>
  </si>
  <si>
    <t>5298500,00</t>
  </si>
  <si>
    <t>1854364,89</t>
  </si>
  <si>
    <t>PUBBLICA ASSISTENZA CASTELLO SERRAVALLE</t>
  </si>
  <si>
    <t>PUBBLICA ASSISTENZA CASTENASO ODV</t>
  </si>
  <si>
    <t>PUBBLICA ASSISTENZA CITTÃ€ DI BOLOGNA  ODV</t>
  </si>
  <si>
    <t>PUBBLICA ASSISTENZA GRANAGLIONE</t>
  </si>
  <si>
    <t>PUBBLICA ASSISTENZA MONTERENZIO</t>
  </si>
  <si>
    <t>PUBBLICA ASSISTENZA OZZANO E SAN LAZZARO</t>
  </si>
  <si>
    <t>PUBBLICA ASSISTENZA PIANORO-ODV</t>
  </si>
  <si>
    <t>PUBBLICA ASSISTENZA CROCE ITALIA ONLUS</t>
  </si>
  <si>
    <t>P.A.CROCE ITALIA COMUNI DI PIANURA ODV</t>
  </si>
  <si>
    <t>PUBBLICA ASSISTENZA SASSO MARCONI ONLUS</t>
  </si>
  <si>
    <t>PUBBLICA ASSISTENZA CITTA' DI VADO</t>
  </si>
  <si>
    <t>GVS GRUPPO DI SOCCORSO VALLE LAVINO</t>
  </si>
  <si>
    <t>PUBBLICA ASSISTENZA VAL DI SAMBRO ODV</t>
  </si>
  <si>
    <t>ASSISTENZA TECNICA 2023 DITTA CS MED</t>
  </si>
  <si>
    <t>CS MED SRL</t>
  </si>
  <si>
    <t>443,70</t>
  </si>
  <si>
    <t>RASSEGNA AUDIO VIDEO</t>
  </si>
  <si>
    <t>1166,67</t>
  </si>
  <si>
    <t>6500,20</t>
  </si>
  <si>
    <t>5422,30</t>
  </si>
  <si>
    <t>DET.495/2023 incremento servizio manutenzione meccanico zona Bologna-lotto 1</t>
  </si>
  <si>
    <t>PARTS &amp; SERVICES</t>
  </si>
  <si>
    <t>20291,84</t>
  </si>
  <si>
    <t>6642,30</t>
  </si>
  <si>
    <t>ACQUISTO DISINFETTANTI</t>
  </si>
  <si>
    <t>neumed srl</t>
  </si>
  <si>
    <t>5185,68</t>
  </si>
  <si>
    <t>ASSISTENZA TECNICA 2023 DITTA MAW DI RUBINI GIANLUCA</t>
  </si>
  <si>
    <t>MAW S.N.C. DI RUBINI MARIO &amp; C.</t>
  </si>
  <si>
    <t>6472,00</t>
  </si>
  <si>
    <t>453,00</t>
  </si>
  <si>
    <t>5406,00</t>
  </si>
  <si>
    <t>ACQUISTO AGHI MONOUSO BO-JECT</t>
  </si>
  <si>
    <t>651,00</t>
  </si>
  <si>
    <t>Acquisto di n.2 polisonnigrafi per Att. Amb. Pneumologia Osp. Bellaria 2023</t>
  </si>
  <si>
    <t>2660,00</t>
  </si>
  <si>
    <t>ASSISTENZA TECNICA 2023 DITTA BD BECTON DICKINSON</t>
  </si>
  <si>
    <t>995,00</t>
  </si>
  <si>
    <t>METTLER TOLEDO S.P.A.</t>
  </si>
  <si>
    <t>3935,70</t>
  </si>
  <si>
    <t>CONTRATTO PONTE SERVIZIO FR LINAC INV ABO011854 1 TRIMESTRE 2023 ELEKTA</t>
  </si>
  <si>
    <t>Elekta S.p.A.</t>
  </si>
  <si>
    <t>37500,00</t>
  </si>
  <si>
    <t>det 395/23 ulteriore adesione convenzione intercenter medicinali esclusivi 21-23 lotto 6</t>
  </si>
  <si>
    <t>9800,00</t>
  </si>
  <si>
    <t>det 395/23 ulteriore adesione convenzione intercenter medicinali esclusivi 21-23 lotto 7</t>
  </si>
  <si>
    <t>114800,00</t>
  </si>
  <si>
    <t>54430,80</t>
  </si>
  <si>
    <t>det 395/23 ulteriore adesione convenzione intercenter medicinali esclusivi 21-23 lotto 44</t>
  </si>
  <si>
    <t>7838,80</t>
  </si>
  <si>
    <t>Servizio FR DRX Navile e Bazzano anno 2023 CARESTREAM</t>
  </si>
  <si>
    <t>Carestream Health Italia Srl</t>
  </si>
  <si>
    <t>5243,07</t>
  </si>
  <si>
    <t>FILMAR SRL</t>
  </si>
  <si>
    <t>191,99</t>
  </si>
  <si>
    <t>Servizio FR sistemi Tandem - contratto I quadrimestre 2023 ABSCIEX</t>
  </si>
  <si>
    <t>26592,52</t>
  </si>
  <si>
    <t>Servizio FR videoendoscopi Fuji anno 2023 FUJI ITALIA SPA</t>
  </si>
  <si>
    <t>23305,80</t>
  </si>
  <si>
    <t>Contratto ponte servizio FR sistemi Draeger  I trimestre 2023 DRAEGER</t>
  </si>
  <si>
    <t>38872,00</t>
  </si>
  <si>
    <t>5184,72</t>
  </si>
  <si>
    <t>Thea Farma</t>
  </si>
  <si>
    <t>5150,00</t>
  </si>
  <si>
    <t>manutenzione e assistenza annuale Smartfolio-Myparkfolio</t>
  </si>
  <si>
    <t>FLOWBIRD ITALIA S.R.L.</t>
  </si>
  <si>
    <t>192,00</t>
  </si>
  <si>
    <t>96,00</t>
  </si>
  <si>
    <t>ASSISTENZA TECNICA 2023 DITTA MICO MEDICAL</t>
  </si>
  <si>
    <t>Mi.Co. Medical Srl Uniproprietario</t>
  </si>
  <si>
    <t>2421,50</t>
  </si>
  <si>
    <t>DET.689/2023Proroga tecnica per la fornitura di sistemi e dispositivi protesici per ortopedia- ELASTOPLASTY VK100</t>
  </si>
  <si>
    <t>68251,78</t>
  </si>
  <si>
    <t>ACQUISTO ANTISETTICI</t>
  </si>
  <si>
    <t>5832,00</t>
  </si>
  <si>
    <t>Acquisto lacci in silicone per strumentario chirurgico</t>
  </si>
  <si>
    <t>Acquisto di 5 sistemi elettromeccanici per terapia fisica per AUSL di Bologna ed ulteriori sistemi in opzione 2023</t>
  </si>
  <si>
    <t>1495,00</t>
  </si>
  <si>
    <t>ACQYISTO PROTESI</t>
  </si>
  <si>
    <t>6656,50</t>
  </si>
  <si>
    <t>Rinnovo servizio di manutenzione della piattaforma Sm@rtContSMS per l invio automatizzato e massivo di SMS su infrastruttura esistente come da capitolato</t>
  </si>
  <si>
    <t>I-Tel srl</t>
  </si>
  <si>
    <t>11040,00</t>
  </si>
  <si>
    <t>2760,00</t>
  </si>
  <si>
    <t>ACQUISTO TAVOLI MADRE</t>
  </si>
  <si>
    <t>CFS ITALIA SRL</t>
  </si>
  <si>
    <t>968,00</t>
  </si>
  <si>
    <t>Servizio di manutenzione correttiva, adattativa e assistenza per Web applications finalizzate alla raccolta dati e alla gestione di archivi documentali come da capitolato</t>
  </si>
  <si>
    <t>SGG SOFT DI GUAIANA SALVATORE</t>
  </si>
  <si>
    <t>18300,00</t>
  </si>
  <si>
    <t>9150,00</t>
  </si>
  <si>
    <t>CONTRATTO TRA L'AZIENDA USL DI BOLOGNA DSMDP E LA FONDAZIONE DON IVO SILINGARDI NAZARENO PER LA FORNITURA DI INTERVENTI TERAPEUTICO RIABILITATIVI IN REGIME RESIDENZIALE PRESSO LA STRUTTURA ACCREDITATA CASA MANTOVANI</t>
  </si>
  <si>
    <t>FONDAZIONE DON IVO SILINGARDI - NAZARENO</t>
  </si>
  <si>
    <t>1192491,00</t>
  </si>
  <si>
    <t>455339,46</t>
  </si>
  <si>
    <t>CONTRATTO DI SERVIZIO TRA L'AUSL DI BOLOGNA DSMDP E LA FONDAZIONE GRUBER ONLUS PER LA FORNITURA DI INTERVENTI DI RIABILITAZIONE PSICONUTRIZIONALE IN REGIME RESIDENZIALE E SEMIRESIDENZIALE PRESSO LA RTR-E RESIDENZA GRUBER ACCREDITATA</t>
  </si>
  <si>
    <t>FONDAZIONE GRUBER ONLUS</t>
  </si>
  <si>
    <t>905850,00</t>
  </si>
  <si>
    <t>318567,50</t>
  </si>
  <si>
    <t>CONTRATTO DI SERVIZIO TRA L'AUSL DI BOLOGNA DSMDP E L'ASSOCIAZIONE CENTRO GRUBER PER L'ACQUISIZIONE DI PACCHETTI DI PRESTAZIONI NELL'AMBITO DI PERCORSI RIABILITATIVO NUTRIZIONALI PRESSO IL POLIAMBULATORIO SPECIALISTICO ACCREDITATO CENTRO GRUBER</t>
  </si>
  <si>
    <t>ASSOCIAZIONE CENTRO GRUBER</t>
  </si>
  <si>
    <t>8032,00</t>
  </si>
  <si>
    <t>CONTRATTO DI SERVIZIO TRA L'AUSL DI BOLOGNA DSMDP E LA COOPERATIVA SOCIALE PROGES ONLUS PER LA FORNITURA DI INTERVENTI TERAPEUTICO RIABILITATIVI IN REGIME RESIDENZIALE PRESSO LA RESIDENZA SANITARIA PSICHIATRICA ACCREDITATA VILLA BIANCONI</t>
  </si>
  <si>
    <t>1065435,00</t>
  </si>
  <si>
    <t>405532,50</t>
  </si>
  <si>
    <t>CONTRATTO DI SERVIZIO TRA L'AUSL DI BOLOGNA DSMDP E LA COOPERATIVA SOCIALE PROGES ONLUS PER LA FORNITURA DI INTERVENTI TERAPEUTICO RIABILITATIVI IN REGIME RESIDENZIALE PRESSO LA RESIDENZA SANITARIA PSICHIATRICA ACCREDITATA LUNA NUOVA</t>
  </si>
  <si>
    <t>375633,60</t>
  </si>
  <si>
    <t>5564,49</t>
  </si>
  <si>
    <t>ACQUISTO CARTUCCE E LAMPADINE PER STAMPA VETRINI ANATOMIA PATOLOGICA</t>
  </si>
  <si>
    <t>4964,22</t>
  </si>
  <si>
    <t>Franceschelli S.r.l.</t>
  </si>
  <si>
    <t>DCP - MOVI S.p.A. - MICROINFUSORI - PERIODO 01.01.2023-31.12.2023</t>
  </si>
  <si>
    <t>33632,50</t>
  </si>
  <si>
    <t>Acquisto Di Materiale Per Sterilizzazione E Imballaggio</t>
  </si>
  <si>
    <t>4693,08</t>
  </si>
  <si>
    <t>116730,00</t>
  </si>
  <si>
    <t>ONORARIO PER REGISTRAZIONE TESTAMENTO PUBBLICO</t>
  </si>
  <si>
    <t>BABBINI CLAUDIO</t>
  </si>
  <si>
    <t>391,11</t>
  </si>
  <si>
    <t>INDUSTRIA TERAPEUTICA SPLENDORE ALFA INTES</t>
  </si>
  <si>
    <t>185931,92</t>
  </si>
  <si>
    <t>17618,12</t>
  </si>
  <si>
    <t>det 134/23 adesione intercenter medicinali e radiofarmaci 2023-2025 lotto 7 23 26 36 84 85 86 87 88 89 117 254 297 331 642 643 780 781 801 802 838 21 24 30 241</t>
  </si>
  <si>
    <t>479020,94</t>
  </si>
  <si>
    <t>65953,67</t>
  </si>
  <si>
    <t>det 134/23 adesione intercenter medicinali e radiofarmaci 2023-2025 lotto  465 641 641 679</t>
  </si>
  <si>
    <t>Almirall S.p.A.</t>
  </si>
  <si>
    <t>302865,50</t>
  </si>
  <si>
    <t>39545,50</t>
  </si>
  <si>
    <t>det 134/23 adesione intercenter medicinali e radiofarmaci 2023-2025 lotto 574 576 592 817</t>
  </si>
  <si>
    <t>11540109,26</t>
  </si>
  <si>
    <t>1765772,40</t>
  </si>
  <si>
    <t>det 134/23 adesione intercenter medicinali e radiofarmaci 2023-2025 lotto 930</t>
  </si>
  <si>
    <t>S.A.L.F. S.P.A.</t>
  </si>
  <si>
    <t>2280,54</t>
  </si>
  <si>
    <t>SECONDO RINNOVO MANUTENZIONE ATTREZZATURE STRYKER PER AUSLBO-DET. 135 DEL 17.1.2023</t>
  </si>
  <si>
    <t>7580,75</t>
  </si>
  <si>
    <t>SELEFAR S.R.L.</t>
  </si>
  <si>
    <t>MANUTENZIONI AUTOMEZZI CARROZZERIA - ZONA BENTIVOGLIO BUDRIO ARGELATO</t>
  </si>
  <si>
    <t>CARROZZERIA EUROPA SNC</t>
  </si>
  <si>
    <t>39950,00</t>
  </si>
  <si>
    <t>3861,65</t>
  </si>
  <si>
    <t>4488,00</t>
  </si>
  <si>
    <t>5950,40</t>
  </si>
  <si>
    <t>ACQUISTO MAT. DI CONSUMO GIMA PER ELETTROCARDIOGRAFI</t>
  </si>
  <si>
    <t>BIHOS S.A.S. di Roberta Bidoia</t>
  </si>
  <si>
    <t>1243,69</t>
  </si>
  <si>
    <t>4400,00</t>
  </si>
  <si>
    <t>5760,00</t>
  </si>
  <si>
    <t>5180,00</t>
  </si>
  <si>
    <t>det.294/2023 adesione intercenter farmaci biologici e biosimilari esclusivi 2023/24 - lotto 2</t>
  </si>
  <si>
    <t>291740,00</t>
  </si>
  <si>
    <t>56176,00</t>
  </si>
  <si>
    <t>det 134/23 adesione intercenter medicinali e radiofarmaci 2023-2025 lotto 269</t>
  </si>
  <si>
    <t>KYOWA KIRIN Srl</t>
  </si>
  <si>
    <t>171345,72</t>
  </si>
  <si>
    <t>1547,00</t>
  </si>
  <si>
    <t>det.294/2023 adesione intercenter farmaci biologici e biosimilari esclusivi 2023/24 - lotto 1</t>
  </si>
  <si>
    <t>136353,00</t>
  </si>
  <si>
    <t>18532,00</t>
  </si>
  <si>
    <t>det.294/2023 adesione intercenter farmaci biologici e biosimilari esclusivi 2023/24 - lotto 3</t>
  </si>
  <si>
    <t>128898,00</t>
  </si>
  <si>
    <t>17964,00</t>
  </si>
  <si>
    <t>6970,50</t>
  </si>
  <si>
    <t>det 134/23 adesione intercenter medicinali e radiofarmaci 2023-2025 lotto 287</t>
  </si>
  <si>
    <t>NORDIC PHARMA</t>
  </si>
  <si>
    <t>144772,68</t>
  </si>
  <si>
    <t>20471,25</t>
  </si>
  <si>
    <t>5813,69</t>
  </si>
  <si>
    <t>ACQUISTO MASCHERE FILTAMASK PER OSSIGENOTERAPIA IN PAZIENTI COVID PER BOLOGNA SOCCORSO</t>
  </si>
  <si>
    <t>4140,00</t>
  </si>
  <si>
    <t>Acquisto materiale odontoiatrico vario</t>
  </si>
  <si>
    <t>29667,00</t>
  </si>
  <si>
    <t>14128,40</t>
  </si>
  <si>
    <t>ANLA: Convenzione per la fornitura di un servizio di accompagnamento utenti periodo da Marzo 2023 a Dicembre 2025.</t>
  </si>
  <si>
    <t>A.N.L.A. ONLUS</t>
  </si>
  <si>
    <t>49583,00</t>
  </si>
  <si>
    <t>8490,00</t>
  </si>
  <si>
    <t>det 134/23 adesione intercenter medicinali e radiofarmaci 2023-2025 lotto 266 280 283 843</t>
  </si>
  <si>
    <t>ESSEX ITALIA S.p.A.</t>
  </si>
  <si>
    <t>222970,32</t>
  </si>
  <si>
    <t>55479,51</t>
  </si>
  <si>
    <t>INTERCENT AUSILI MOBILITA' DISABILI LOTTO 6 DETERMINA 297 3.2.2023</t>
  </si>
  <si>
    <t>69570,00</t>
  </si>
  <si>
    <t>CONVENZIONE INTERCENT AUSILI PER MOBILITA' DISABILI LOTTO 6-DET. 297 DEL 3.2.2023</t>
  </si>
  <si>
    <t>62997,00</t>
  </si>
  <si>
    <t>12790,05</t>
  </si>
  <si>
    <t>CONVENZIONE INTERCENT-AUSILI PER LA MOBILITA' DEI DISABILI-LOTTO 6-DET. 297 DEL 3.2.2023</t>
  </si>
  <si>
    <t>5047,00</t>
  </si>
  <si>
    <t>CONVENZIONE INTERCENT-AUSILI PER MOBILITA' DISABILI-LOTTO 7-DET. 297 DEL 3.2.2023</t>
  </si>
  <si>
    <t>1216,00</t>
  </si>
  <si>
    <t>CONVENZIONE INTERCENT-AUSILI PER LA MOBILITA' DEI DISABILI-LOTTO 11-DET. 297 DEL 3.2.2023</t>
  </si>
  <si>
    <t>13430,00</t>
  </si>
  <si>
    <t>OTTO BOCK SOLUZIONI ORTOPEDICHE S.R</t>
  </si>
  <si>
    <t>2113,50</t>
  </si>
  <si>
    <t>445176,16</t>
  </si>
  <si>
    <t>67271,04</t>
  </si>
  <si>
    <t>5970,00</t>
  </si>
  <si>
    <t>ASSISTENZA TECNICA 2023 DITTA SAGO MEDICA</t>
  </si>
  <si>
    <t>4044,00</t>
  </si>
  <si>
    <t>ACQUISTO SOTTOSOGLIA FARMACI</t>
  </si>
  <si>
    <t>3324,94</t>
  </si>
  <si>
    <t>MANUTENZIONE E TARATURA STRUMENTI DSP</t>
  </si>
  <si>
    <t>TECNOPOUND SRL</t>
  </si>
  <si>
    <t>1837,00</t>
  </si>
  <si>
    <t>Invio a domicilio dei modelli CU 2023 dei dipendenti attraverso servizio postale come da capitolato.</t>
  </si>
  <si>
    <t>Dedalus Italia SpA con Socio Unico</t>
  </si>
  <si>
    <t>22200,00</t>
  </si>
  <si>
    <t>ACQUISTO CAMPIONATORI ARIA</t>
  </si>
  <si>
    <t>18500,00</t>
  </si>
  <si>
    <t>ACQUISTO DISPOSITIVI PER CHIRURGIA ORTOPEDICA E MAXILLO</t>
  </si>
  <si>
    <t>4807,74</t>
  </si>
  <si>
    <t>DET.150/2023. FORNITURA DI SENSORI, MONOPAZIENTE E RIUTILIZZABILI, PER IL MONITORAGGIO NON INVASIVO DELLA SATURAZIONE ARTERIOSA DI OSSIGENO (SPO2) E RELATIVI ACCESSORI. LOTTO 1</t>
  </si>
  <si>
    <t>251096,00</t>
  </si>
  <si>
    <t>23785,00</t>
  </si>
  <si>
    <t>5941,56</t>
  </si>
  <si>
    <t>3738,75</t>
  </si>
  <si>
    <t>ACQUISTO FARMACI ESTERI</t>
  </si>
  <si>
    <t>FARMACEUTICA INTERNAZIONALE ITALIANA S.R.L.</t>
  </si>
  <si>
    <t>3102,00</t>
  </si>
  <si>
    <t>det 134/23 adesione intercenter medicinali e radiofarmaci 2023-2025 lotto 656</t>
  </si>
  <si>
    <t>PTC THERAPEUTICS INTERNATIONAL LTD</t>
  </si>
  <si>
    <t>907891,21</t>
  </si>
  <si>
    <t>5208,78</t>
  </si>
  <si>
    <t>FENICE DISTRIBUZIONE S.r.l.</t>
  </si>
  <si>
    <t>23800,00</t>
  </si>
  <si>
    <t>RDO SAPONE CREMA PER MANI PER AUSLBO-DET. 360 DELL' 8.2.2023</t>
  </si>
  <si>
    <t>95930,00</t>
  </si>
  <si>
    <t>17490,00</t>
  </si>
  <si>
    <t>YPSOMED ITALIA SRL</t>
  </si>
  <si>
    <t>5475,00</t>
  </si>
  <si>
    <t>RDI SRL - RETE DIAGNOSTICA ITALIANA SRL</t>
  </si>
  <si>
    <t>3483,20</t>
  </si>
  <si>
    <t>MEDISANA S.R.L.</t>
  </si>
  <si>
    <t>836,53</t>
  </si>
  <si>
    <t>Acquisto coperte termiche multifunzionali</t>
  </si>
  <si>
    <t>EMIMED S.r.l.</t>
  </si>
  <si>
    <t>864,00</t>
  </si>
  <si>
    <t>D T  ECO-GRAFICA SRL</t>
  </si>
  <si>
    <t>5169,65</t>
  </si>
  <si>
    <t>CENTRO DI MEDICINA CITTA' DI CARPI S.R.L.</t>
  </si>
  <si>
    <t>4610,00</t>
  </si>
  <si>
    <t>SMITH &amp; NEPHEW S.R.L.</t>
  </si>
  <si>
    <t>2590,56</t>
  </si>
  <si>
    <t>5140,80</t>
  </si>
  <si>
    <t>ACQUISTO DISPOSITIVI MEDICI + 20%</t>
  </si>
  <si>
    <t>5438,38</t>
  </si>
  <si>
    <t>ACQUISTO URGENTE MATERIALE VARIO (NON INVENTARIABILE)</t>
  </si>
  <si>
    <t>622,40</t>
  </si>
  <si>
    <t>AUSL BO DETE 379 2023 AFFIDAMENTO IN CONCESSIONE DEL SERVIZIO BAR PRESSO IL PRESIDIO OSPEDALIERO DI BAZZANO</t>
  </si>
  <si>
    <t>SIMONCINI CRISTIAN</t>
  </si>
  <si>
    <t>87231,00</t>
  </si>
  <si>
    <t>6323,00</t>
  </si>
  <si>
    <t>5966,30</t>
  </si>
  <si>
    <t>Convenzione Intercent filtranti facciali Lotto 1 per AUSLBO-Det. 368 del 9.2.2023</t>
  </si>
  <si>
    <t>37440,00</t>
  </si>
  <si>
    <t>6402,00</t>
  </si>
  <si>
    <t>5570,20</t>
  </si>
  <si>
    <t>FARMAZZURRA SRL</t>
  </si>
  <si>
    <t>2720,31</t>
  </si>
  <si>
    <t>3777,16</t>
  </si>
  <si>
    <t>CENTRO MEDICO PRIVATO LAZZARO SPALLANZANI S.R.L.</t>
  </si>
  <si>
    <t>610,90</t>
  </si>
  <si>
    <t>Acquisto in esclusiva di n 1 Pletismografo per AttivitÃ  Ambulatoriale Ospedale di Bazzano AUSL Bologna</t>
  </si>
  <si>
    <t>CareFusion Italy 237 S.r.l. Unipersonale</t>
  </si>
  <si>
    <t>ONORARIO PERIZIA - NOTAIO ROSALIA SCUDERI</t>
  </si>
  <si>
    <t>Scuderi Rosalia</t>
  </si>
  <si>
    <t>1530,00</t>
  </si>
  <si>
    <t>ASSISTENZA TECNICA 2023 DITTA LEDISO</t>
  </si>
  <si>
    <t>LEDISO ITALIA</t>
  </si>
  <si>
    <t>843,45</t>
  </si>
  <si>
    <t>ACQUISTO SACCGU E SACCHETTI VARI PER ESIGENZE SERVIZI</t>
  </si>
  <si>
    <t>1017,12</t>
  </si>
  <si>
    <t>6386,30</t>
  </si>
  <si>
    <t>FONDAZIONE OPERA SAN CAMILLO</t>
  </si>
  <si>
    <t>390916,00</t>
  </si>
  <si>
    <t>103428,03</t>
  </si>
  <si>
    <t>PERFORMANCE HOSPITAL S.R.L.</t>
  </si>
  <si>
    <t>4047,60</t>
  </si>
  <si>
    <t>D.B.A. ITALIA S.R.L.</t>
  </si>
  <si>
    <t>3575,00</t>
  </si>
  <si>
    <t>4177,19</t>
  </si>
  <si>
    <t>ACQUISTO MATERIALE DI CONSUMO PER ELETTRO NEUROMIOGRAFI</t>
  </si>
  <si>
    <t>EB Neuro</t>
  </si>
  <si>
    <t>1554,98</t>
  </si>
  <si>
    <t>ACQUISTO ABBONAMENTI A "IL CORRIERE DELLA SERA" EDIZIONE DIGITALE - ANNO 2023</t>
  </si>
  <si>
    <t>RCS mediagroup</t>
  </si>
  <si>
    <t>410,00</t>
  </si>
  <si>
    <t>192,30</t>
  </si>
  <si>
    <t>ACQUISTO ABBONAMENTI A "IL RESTO DEL CARLINO" EDIZIONE DIGITALE - ANNO 2023</t>
  </si>
  <si>
    <t>MONRIF NET S.R.L.</t>
  </si>
  <si>
    <t>360,00</t>
  </si>
  <si>
    <t>ACQUISTO ABBONAMENTI A "LA REPUBBLICA" EDIZIONE DIGITALE - ANNO 2023</t>
  </si>
  <si>
    <t>GEDI DIGITAL S.R.L.</t>
  </si>
  <si>
    <t>Acquisto di n. 12 poltrone per terpie citotossiche per le esigenze dell'UO Oncologia dell'Ospedale Bellaria</t>
  </si>
  <si>
    <t>ASSISTENZA TECNICA 2023 DITTA CEABIS PATHOLOGY</t>
  </si>
  <si>
    <t>VEZZANI SPA</t>
  </si>
  <si>
    <t>5704,00</t>
  </si>
  <si>
    <t>5986,29</t>
  </si>
  <si>
    <t>2423,71</t>
  </si>
  <si>
    <t>det 134/23 adesione intercenter medicinali e radiofarmaci 2023-2025 lotto 196</t>
  </si>
  <si>
    <t>Inca-Pharm</t>
  </si>
  <si>
    <t>296,10</t>
  </si>
  <si>
    <t>ACTIVA SRL</t>
  </si>
  <si>
    <t>5872,50</t>
  </si>
  <si>
    <t>det 134/23 adesione intercenter medicinali e radiofarmaci 2023-2025 lotto 931</t>
  </si>
  <si>
    <t>GUERBET SPA</t>
  </si>
  <si>
    <t>20652,09</t>
  </si>
  <si>
    <t>det 134/23 adesione intercenter medicinali e radiofarmaci 2023-2025 lotto 174 175 176 177 202 928</t>
  </si>
  <si>
    <t>60966,25</t>
  </si>
  <si>
    <t>18932,91</t>
  </si>
  <si>
    <t>det 134/23 adesione intercenter medicinali e radiofarmaci 2023-2025 lotto  67 221 333 462 516 516 590 649</t>
  </si>
  <si>
    <t>754466,94</t>
  </si>
  <si>
    <t>92666,48</t>
  </si>
  <si>
    <t>CASA DI CURA VILLA LAURA SOCIETA' A RESPONSABILITA</t>
  </si>
  <si>
    <t>20115000,00</t>
  </si>
  <si>
    <t>15992456,49</t>
  </si>
  <si>
    <t>VILLA CHIARA S.P.A.</t>
  </si>
  <si>
    <t>21590000,00</t>
  </si>
  <si>
    <t>11616184,35</t>
  </si>
  <si>
    <t>8730000,00</t>
  </si>
  <si>
    <t>4461120,27</t>
  </si>
  <si>
    <t>VILLA TORRI HOSPITAL SRL</t>
  </si>
  <si>
    <t>13450000,00</t>
  </si>
  <si>
    <t>12099483,02</t>
  </si>
  <si>
    <t>SALUS HOSPITAL S.R.L.</t>
  </si>
  <si>
    <t>113699,37</t>
  </si>
  <si>
    <t>MARIA CECILIA HOSPITAL S.P.A.</t>
  </si>
  <si>
    <t>2850000,00</t>
  </si>
  <si>
    <t>1746879,73</t>
  </si>
  <si>
    <t>5649,80</t>
  </si>
  <si>
    <t>6808,93</t>
  </si>
  <si>
    <t>MODENA MEDICA S.R.L.</t>
  </si>
  <si>
    <t>182,89</t>
  </si>
  <si>
    <t>SERVIZIO DI TRASPORTO FUNEBRE SALMA DONOATORE DI ORGANI</t>
  </si>
  <si>
    <t>ACQ. MASCHERE PER FOTOTERAPIA PER PZ NEONATALI</t>
  </si>
  <si>
    <t>786,00</t>
  </si>
  <si>
    <t>MEGA SYSTEM SRL</t>
  </si>
  <si>
    <t>345,00</t>
  </si>
  <si>
    <t>ACQUISTO CONSUMABILI SISTEMI MOTORIZZATI NSK</t>
  </si>
  <si>
    <t>INTEGRA LIFESCIENCES ITALY SRL</t>
  </si>
  <si>
    <t>ISCRIZIONE SERVIZI EQA/PT</t>
  </si>
  <si>
    <t>3202,00</t>
  </si>
  <si>
    <t>ASSISTENZA TECNICA 2023 DITTA INTEGRA LIFESCIENCES</t>
  </si>
  <si>
    <t>2842,80</t>
  </si>
  <si>
    <t>Leo Pharma S.p.A.</t>
  </si>
  <si>
    <t>4043,18</t>
  </si>
  <si>
    <t>5666,55</t>
  </si>
  <si>
    <t>ASSISTENZA TECNICA 2023 DITTA AT-OS SRL</t>
  </si>
  <si>
    <t>AT-OS SRL</t>
  </si>
  <si>
    <t>2224,48</t>
  </si>
  <si>
    <t>4544,35</t>
  </si>
  <si>
    <t>5880,00</t>
  </si>
  <si>
    <t>OMIKRON ITALIA SRL</t>
  </si>
  <si>
    <t>1961,36</t>
  </si>
  <si>
    <t>5986,56</t>
  </si>
  <si>
    <t>3550,00</t>
  </si>
  <si>
    <t>6415,00</t>
  </si>
  <si>
    <t>5919,04</t>
  </si>
  <si>
    <t>RDO PI 343038 fornitura in acquisto della tecnologia necessaria a creare una rete territoriale per la gestione e il follow up delle patologie oculistiche LOTTO 2</t>
  </si>
  <si>
    <t>TEC MED MARCHE S.R.L.</t>
  </si>
  <si>
    <t>55380,00</t>
  </si>
  <si>
    <t>MANUTENZIONI ARTICOLI EXTRA CANONE</t>
  </si>
  <si>
    <t>ME.SYS S.R.L.</t>
  </si>
  <si>
    <t>1690,00</t>
  </si>
  <si>
    <t>det 134/23 adesione intercenter medicinali e radiofarmaci 2023-2025 lotto 449 452 539 570 578 829</t>
  </si>
  <si>
    <t>medac pharma Srl a socio unico</t>
  </si>
  <si>
    <t>412039,21</t>
  </si>
  <si>
    <t>41041,27</t>
  </si>
  <si>
    <t>det 291/23 adesione intercenter vaccino Herpes Zoster - Shingrix</t>
  </si>
  <si>
    <t>GLAXOSMITHKLINE S.P.A.</t>
  </si>
  <si>
    <t>1694220,00</t>
  </si>
  <si>
    <t>224235,00</t>
  </si>
  <si>
    <t>ASSISTENZA TECNICA 2023 DITTA GULDMANN</t>
  </si>
  <si>
    <t>GULDMANN SRL</t>
  </si>
  <si>
    <t>det 134/23 adesione intercenter medicinali e radiofarmaci 2023-2025 lotto 369 721</t>
  </si>
  <si>
    <t>HIKMA ITALIA</t>
  </si>
  <si>
    <t>31508,77</t>
  </si>
  <si>
    <t>3988,15</t>
  </si>
  <si>
    <t>det 134/23 adesione intercenter medicinali e radiofarmaci 2023-2025 lotto 313 335</t>
  </si>
  <si>
    <t>I.B.N. Savio srl a socio unico</t>
  </si>
  <si>
    <t>4623,21</t>
  </si>
  <si>
    <t>74,85</t>
  </si>
  <si>
    <t>ACQUISTO FERMAPOLSI MONOCLEAN</t>
  </si>
  <si>
    <t>2511,60</t>
  </si>
  <si>
    <t>DIP LIBERTAS CASE S. MARTINO 2023</t>
  </si>
  <si>
    <t>LIBERTAS ASSISTENZA COOPERATIVA SOCIALE</t>
  </si>
  <si>
    <t>36632,00</t>
  </si>
  <si>
    <t>6975,00</t>
  </si>
  <si>
    <t>5950,28</t>
  </si>
  <si>
    <t>5902,50</t>
  </si>
  <si>
    <t>DET.583/23-ANTISETTICI E DISINFETTANTI Adesione Intercenter Lotto 40</t>
  </si>
  <si>
    <t>408,00</t>
  </si>
  <si>
    <t>DET.583/23-ANTISETTICI E DISINFETTANTI Adesione Intercenter Lotto 44</t>
  </si>
  <si>
    <t>232980,00</t>
  </si>
  <si>
    <t>33998,94</t>
  </si>
  <si>
    <t>DET.583/23-ANTISETTICI E DISINFETTANTI Adesione Intercenter Lotto 52</t>
  </si>
  <si>
    <t>12600,00</t>
  </si>
  <si>
    <t>420,00</t>
  </si>
  <si>
    <t>DET.583/23-ANTISETTICI E DISINFETTANTI Adesione Intercenter Lotto 43</t>
  </si>
  <si>
    <t>87,00</t>
  </si>
  <si>
    <t>DET.583/23-ANTISETTICI E DISINFETTANTI Adesione Intercenter Lotto 34</t>
  </si>
  <si>
    <t>28560,00</t>
  </si>
  <si>
    <t>2741,76</t>
  </si>
  <si>
    <t>THERAMEX ITALY S.R.L.</t>
  </si>
  <si>
    <t>4673,38</t>
  </si>
  <si>
    <t>DET.583/23-ANTISETTICI E DISINFETTANTI Adesione Intercenter Lotto 37</t>
  </si>
  <si>
    <t>102600,00</t>
  </si>
  <si>
    <t>13905,00</t>
  </si>
  <si>
    <t>DET.583/23-ANTISETTICI E DISINFETTANTI Adesione Intercenter Lotto 38</t>
  </si>
  <si>
    <t>3825,00</t>
  </si>
  <si>
    <t>326,40</t>
  </si>
  <si>
    <t>DET.583/23-ANTISETTICI E DISINFETTANTI Adesione Intercenter Lotto 25</t>
  </si>
  <si>
    <t>CONVENZIONE PR ATTIVITA' DI PUNTO PRELIEVI CON CASA DI CURA PROF. NOBLI TRIENNIO 2022-2024</t>
  </si>
  <si>
    <t>7082,20</t>
  </si>
  <si>
    <t>22910000,00</t>
  </si>
  <si>
    <t>15537772,04</t>
  </si>
  <si>
    <t>ACQ. MAT. CONSUMO DEDICATO STRUM. DRAEGER</t>
  </si>
  <si>
    <t>4525,44</t>
  </si>
  <si>
    <t>Casa di cura privata Piacenza S.p.A</t>
  </si>
  <si>
    <t>87486,98</t>
  </si>
  <si>
    <t>DIC SOLIDARIETA' FAMILIARE COOPERATIVA SOCIALE ARL (GRUPPO APPARTAMENTO SASSO MARCONI) INSERIMENTO DISABILI PERIODO 01/01/2023 - 31/12/2024</t>
  </si>
  <si>
    <t>SOLIDARIETA'*FAMILIARE - SOCIETA' COOPERATIVA DI S</t>
  </si>
  <si>
    <t>110376,00</t>
  </si>
  <si>
    <t>22806,00</t>
  </si>
  <si>
    <t>4941,00</t>
  </si>
  <si>
    <t>mehos srl</t>
  </si>
  <si>
    <t>5559,50</t>
  </si>
  <si>
    <t>5950,00</t>
  </si>
  <si>
    <t>ASSISTENZA TECNICA 2023 DITTA SIRA</t>
  </si>
  <si>
    <t>SIRA S.r.l.</t>
  </si>
  <si>
    <t>330,00</t>
  </si>
  <si>
    <t>CONTRATTO PONTE SERVIZIO FR TAVOLI OPERATORI OPT 1 QUADRIMESTRE 2023</t>
  </si>
  <si>
    <t>39866,65</t>
  </si>
  <si>
    <t>ASSISTENZA TECNICA 2023 DITTA DOTT SAX SNC DI VENTURI W E C</t>
  </si>
  <si>
    <t>DOTT.*SAX LABORATORIO S.N.C. DI VENTURI WALTER E C</t>
  </si>
  <si>
    <t>217,66</t>
  </si>
  <si>
    <t>DET. 732/23 FORNITURA IN NOLEGGIO GRATUITO DI N. 2 SISTEMI INSUFFLAZIONE E RELATIVO MATERIALE DI CONSUMO</t>
  </si>
  <si>
    <t>113750,00</t>
  </si>
  <si>
    <t>Acquisto nÂ°10 (dieci) credenziali per firma digitale remota automatica (Canone annuo â€“ Codice Prodotto ASB-R)</t>
  </si>
  <si>
    <t>ACTALIS SPA</t>
  </si>
  <si>
    <t>400,00</t>
  </si>
  <si>
    <t>DIC ASSISTENZA SERVIZI SOCIALI SOC. COOP SOCIALE (GRUPPO APPARTAMENTO CASARALTA)-INSERIMENTO DISABILI PERIODO 2023-2024</t>
  </si>
  <si>
    <t>ASSISTENZA SERVIZI SOCIALI SOCIETA' COOPERATIVA SOCIALE</t>
  </si>
  <si>
    <t>13973,20</t>
  </si>
  <si>
    <t>Acquisto lettori codici a barre per SCCE come da capitolato</t>
  </si>
  <si>
    <t>8298,00</t>
  </si>
  <si>
    <t>ASSISTENZA TECNICA 2023 DITTA ASSING</t>
  </si>
  <si>
    <t>ASSING SOCIETA' PER AZIONI</t>
  </si>
  <si>
    <t>3912,00</t>
  </si>
  <si>
    <t>ACQUISTO E MANUTENZIONE DISPOSITIVI MEDICI VARI</t>
  </si>
  <si>
    <t>3067,60</t>
  </si>
  <si>
    <t>ASSISTENZA TECNICA 2023 DITTA BERMAN</t>
  </si>
  <si>
    <t>BERMAN S.R.L.</t>
  </si>
  <si>
    <t>4295,00</t>
  </si>
  <si>
    <t>DET.231 RINNOVO ANNUALE  FORNITURA DI DISPOSITIVI PER STOMIE, IN ESCLUSIVA,  HOLLISTER</t>
  </si>
  <si>
    <t>HOLLISTER S.P.A.</t>
  </si>
  <si>
    <t>13003,87</t>
  </si>
  <si>
    <t>ASSISTENZA TECNICA 2023 DITTA MICROPORT</t>
  </si>
  <si>
    <t>1927,00</t>
  </si>
  <si>
    <t>ADESIONE CONVENZIONE CONSIP TELECOMANDATI PER ESAMI DI P.S.-LOTTO 2-DET. 362 DELL' 8.2.2023</t>
  </si>
  <si>
    <t>293240,00</t>
  </si>
  <si>
    <t>det 134/23 adesione intercenter medicinali e radiofarmaci 2023-2025 lotto 107 224 303 577</t>
  </si>
  <si>
    <t>215433,12</t>
  </si>
  <si>
    <t>56122,94</t>
  </si>
  <si>
    <t>det 134/23 adesione intercenter medicinali e radiofarmaci 2023-2025 lotto 822</t>
  </si>
  <si>
    <t>86714,96</t>
  </si>
  <si>
    <t>11779,41</t>
  </si>
  <si>
    <t>det 134/23 adesione intercenter medicinali e radiofarmaci 2023-2025 lotto 236</t>
  </si>
  <si>
    <t>AMRYT PHARMACEUTICALS DAC</t>
  </si>
  <si>
    <t>418489,33</t>
  </si>
  <si>
    <t>ACQUISTO SOTTOSOGLIA DISPOSITIVI MEDICI</t>
  </si>
  <si>
    <t>TAU MEDICAL S.R.L.</t>
  </si>
  <si>
    <t>5858,00</t>
  </si>
  <si>
    <t>DET.583/23-ANTISETTICI E DISINFETTANTI Adesione Intercenter Lotto 35</t>
  </si>
  <si>
    <t>13390,88</t>
  </si>
  <si>
    <t>COLISEUM CENTER S.R.L.</t>
  </si>
  <si>
    <t>C.F.T. CITTA DI VIGNOLA S.R.L.</t>
  </si>
  <si>
    <t>1155,78</t>
  </si>
  <si>
    <t>ONORARIO REDAZIONE VERBALE DI INVENTARIO - NOTAIO ROSALIA SCUDERI</t>
  </si>
  <si>
    <t>ONORARIO PER PROCURA SPECIALE - NOTAIO ROSALIA SCUDERI</t>
  </si>
  <si>
    <t>900,00</t>
  </si>
  <si>
    <t>ESSEPIENNE S.R.L.</t>
  </si>
  <si>
    <t>2231299,00</t>
  </si>
  <si>
    <t>893090,01</t>
  </si>
  <si>
    <t>FELSINEE S.R.L. - TERME SAN LUCA PLURICENTER</t>
  </si>
  <si>
    <t>916502,00</t>
  </si>
  <si>
    <t>294609,55</t>
  </si>
  <si>
    <t>CIEMME S.R.L. (IN SIGLA C.M. S.R.L.)</t>
  </si>
  <si>
    <t>533104,00</t>
  </si>
  <si>
    <t>122625,23</t>
  </si>
  <si>
    <t>87303,00</t>
  </si>
  <si>
    <t>23085,80</t>
  </si>
  <si>
    <t>POLIAMB PRIVATO SAN LAZZARO SAS DI RIZZO SILVANA &amp;</t>
  </si>
  <si>
    <t>245973,00</t>
  </si>
  <si>
    <t>95708,02</t>
  </si>
  <si>
    <t>POLIAMBULATORIO PRIVATO SAN GIUSEPPE SRL</t>
  </si>
  <si>
    <t>172444,00</t>
  </si>
  <si>
    <t>50497,35</t>
  </si>
  <si>
    <t>ACQUISTO BATTERIE PER DEFIBRILLATORE PHILIPS FRX</t>
  </si>
  <si>
    <t>4725,00</t>
  </si>
  <si>
    <t>det 134/23 adesione intercenter medicinali e radiofarmaci 2023-2025 lotto 562 e 530</t>
  </si>
  <si>
    <t>Ipsen S.p.A.</t>
  </si>
  <si>
    <t>1969496,38</t>
  </si>
  <si>
    <t>313258,71</t>
  </si>
  <si>
    <t>C.S.F. CENTRO SERVIZI FUNERARI</t>
  </si>
  <si>
    <t>540,00</t>
  </si>
  <si>
    <t>det 134/23 adesione intercenter medicinali e radiofarmaci 2023-2025 lotto 866 e 870</t>
  </si>
  <si>
    <t>1073687,42</t>
  </si>
  <si>
    <t>2077621,54</t>
  </si>
  <si>
    <t>CIG DERIVATO PER QUOTA NON SPESA AOU BO CESSIONE TRASFUSIONALE PROROGA INDAGINI IMMUNOEMATOLOGICHE DITTA DIA4IT (DET.1570/22)</t>
  </si>
  <si>
    <t>DIA4IT S.R.L.</t>
  </si>
  <si>
    <t>43176,80</t>
  </si>
  <si>
    <t>50556,03</t>
  </si>
  <si>
    <t>ASSISTENZA TECNICA 2023 DITTA ARJO</t>
  </si>
  <si>
    <t>ARJOHUNTLEIGH SPA</t>
  </si>
  <si>
    <t>1331,97</t>
  </si>
  <si>
    <t>ASSISTENZA TECNICA 2023 DITTA GIALDI</t>
  </si>
  <si>
    <t>69,00</t>
  </si>
  <si>
    <t>DET.203/2023 PROROGA TECNICA RELATIVA ALLA FORNITURA DI COMBO KIT PER MICROINFUSORI</t>
  </si>
  <si>
    <t>578896,50</t>
  </si>
  <si>
    <t>det 134/23 adesione intercenter medicinali e radiofarmaci 2023-2025 lotto 81 207 812</t>
  </si>
  <si>
    <t>BRUNO FARMACEUTICI SPA</t>
  </si>
  <si>
    <t>113633,66</t>
  </si>
  <si>
    <t>22485,49</t>
  </si>
  <si>
    <t>SPEDIZIONE CAMPIONI BIOLOGICI PER LA RICERCA</t>
  </si>
  <si>
    <t>WORLD COURIER ITALIA Srl</t>
  </si>
  <si>
    <t>2556,12</t>
  </si>
  <si>
    <t>5715,10</t>
  </si>
  <si>
    <t>Acquisto di n 1 apparecchiatura per bio feedback per il Consultorio Familiare Roncati AUSL di Bologna</t>
  </si>
  <si>
    <t>ALEF S.R.L. SEMPLIFICATA</t>
  </si>
  <si>
    <t>4160,00</t>
  </si>
  <si>
    <t>MEDIMAR ITALIA S.R.L.</t>
  </si>
  <si>
    <t>ACQUISTO TASCHE MONOUSO PER HOLTER</t>
  </si>
  <si>
    <t>3003,00</t>
  </si>
  <si>
    <t>N.G.C.MEDICAL S.P.A.</t>
  </si>
  <si>
    <t>2750,00</t>
  </si>
  <si>
    <t>5619,87</t>
  </si>
  <si>
    <t>ASSISTENZA TECNICA 2023 DITTA ELEKTA</t>
  </si>
  <si>
    <t>1680,00</t>
  </si>
  <si>
    <t>5952,00</t>
  </si>
  <si>
    <t>det 134/23 adesione intercenter medicinali e radiofarmaci 2023-2025 lotto 151 165 166 237 327 328 491 499 551 601 654 655</t>
  </si>
  <si>
    <t>6139607,92</t>
  </si>
  <si>
    <t>1202871,00</t>
  </si>
  <si>
    <t>det 134/23 adesione intercenter medicinali e radiofarmaci 2023-2025 lotto 29 126 353 635 644 720 722 837 849 862 865 912</t>
  </si>
  <si>
    <t>390022,59</t>
  </si>
  <si>
    <t>70331,93</t>
  </si>
  <si>
    <t>det 134/23 adesione intercenter medicinali e radiofarmaci 2023-2025 lotto 80 223 444 445 448 456 918</t>
  </si>
  <si>
    <t>859525,97</t>
  </si>
  <si>
    <t>101553,37</t>
  </si>
  <si>
    <t>det 134/23 adesione intercenter medicinali e radiofarmaci 2023-2025 lotto 59 62 68 71 72 77 124 125 219 442 505 536 553 561 749 750 845 857 860</t>
  </si>
  <si>
    <t>ASTRAZENECA SPA</t>
  </si>
  <si>
    <t>9013920,99</t>
  </si>
  <si>
    <t>1410889,94</t>
  </si>
  <si>
    <t>det 134/23 adesione intercenter medicinali e radiofarmaci 2023-2025 lotto 133 226 255 262 263 265 286 352 511 526 673 674 898</t>
  </si>
  <si>
    <t>9320923,48</t>
  </si>
  <si>
    <t>1499955,48</t>
  </si>
  <si>
    <t>det 134/23 adesione intercenter medicinali e radiofarmaci 2023-2025 lotto 200 222 560 686 904</t>
  </si>
  <si>
    <t>Innova Pharma S.P.A.</t>
  </si>
  <si>
    <t>333105,15</t>
  </si>
  <si>
    <t>50020,83</t>
  </si>
  <si>
    <t>det 134/23 adesione intercenter medicinali e radiofarmaci 2023-2025 lotto 60 64 65 70 79 128 129 132 399 520 533 534 848 852 907</t>
  </si>
  <si>
    <t>BOEHRINGER INGELHEIM ITALIA s.p.a.</t>
  </si>
  <si>
    <t>9302783,88</t>
  </si>
  <si>
    <t>1990112,81</t>
  </si>
  <si>
    <t>Acquisto Buste/Contenitori Per Campioni Legali Anno 2023</t>
  </si>
  <si>
    <t>LABOINDUSTRIA S.p.A.</t>
  </si>
  <si>
    <t>4925,00</t>
  </si>
  <si>
    <t>2748,50</t>
  </si>
  <si>
    <t>det 134/23 adesione intercenter medicinali e radiofarmaci 2023-2025 lotto 145</t>
  </si>
  <si>
    <t>BIOVIIIX SRL</t>
  </si>
  <si>
    <t>12728,70</t>
  </si>
  <si>
    <t>det 134/23 adesione intercenter medicinali e radiofarmaci 2023-2025 lotto139 432</t>
  </si>
  <si>
    <t>OCTAPHARMA ITALY S.p.A.</t>
  </si>
  <si>
    <t>277664,41</t>
  </si>
  <si>
    <t>30298,30</t>
  </si>
  <si>
    <t>Aggiornamento ed acquisto nuove licenze SW Eplus e SW Ampere come da capitolato</t>
  </si>
  <si>
    <t>ELECTRO GRAPHICS S.R.L.</t>
  </si>
  <si>
    <t>7192,00</t>
  </si>
  <si>
    <t>DIC CASA S. CHIARA SOC. COOP SOC. (GRUPPI APPART.TO, GRUPPO FAM. NAZARIO SAURO RAGAZZE; GRUPPO FAM. NAZARIO SAURO; GRUPPO FAM. SARAGOZZA 112; GRUPPO FAM. VILLANOVA RAGAZZE; GRUPPO FAM. PINA; GRUPPO C.F. SILVIA) INSERIMENTO DISABILI PERIODO 2023-2024</t>
  </si>
  <si>
    <t>Casa S.Chiara societÃ  cooperativa sociale onlus</t>
  </si>
  <si>
    <t>628734,84</t>
  </si>
  <si>
    <t>147919,88</t>
  </si>
  <si>
    <t>ASSISTENZA TECNICA 2023 DITTA INVENTIS</t>
  </si>
  <si>
    <t>INVENTIS SRL</t>
  </si>
  <si>
    <t>305,00</t>
  </si>
  <si>
    <t>HMC PREMEDICAL SPA</t>
  </si>
  <si>
    <t>5382,40</t>
  </si>
  <si>
    <t>Acquisto disinfettanti odonto - PI074758-23</t>
  </si>
  <si>
    <t>38614,62</t>
  </si>
  <si>
    <t>8279,83</t>
  </si>
  <si>
    <t>427,29</t>
  </si>
  <si>
    <t>POLIAMBULATORIO CITTA' DI COLLECCHIO SRL</t>
  </si>
  <si>
    <t>FISIOMED S.R.L.</t>
  </si>
  <si>
    <t>TERME DI S. AGNESE S.P.A. .</t>
  </si>
  <si>
    <t>66,02</t>
  </si>
  <si>
    <t>POLIAMB.PRIV.CENTRO MEDICO RONCATI SAS</t>
  </si>
  <si>
    <t>208414,00</t>
  </si>
  <si>
    <t>45732,95</t>
  </si>
  <si>
    <t>Onoranze Funebri La Mimosa SAS</t>
  </si>
  <si>
    <t>DET.655/2023 LOTTO 2 Fornitura biennale di materiale di consumo dedicato per sequenziatori modelli NEXTSEQ500</t>
  </si>
  <si>
    <t>34797,60</t>
  </si>
  <si>
    <t>3816,00</t>
  </si>
  <si>
    <t>DET.655/2023 LOTTO 3 Fornitura biennale di materiale di consumo dedicato per sequenziatori modelli NOVASEQ6000</t>
  </si>
  <si>
    <t>632114,00</t>
  </si>
  <si>
    <t>14865,00</t>
  </si>
  <si>
    <t>5698,60</t>
  </si>
  <si>
    <t>det 134/23 adesione intercenter medicinali e radiofarmaci 2023-2025 lotto 317 319 875</t>
  </si>
  <si>
    <t>198528,03</t>
  </si>
  <si>
    <t>34320,40</t>
  </si>
  <si>
    <t>ASSISTENZA TECNICA 2023 DITTA ASP ADVANCED STERILIZATION PRODUSCT ITALIA</t>
  </si>
  <si>
    <t>Advanced Sterilization Products Italia S.r.l.</t>
  </si>
  <si>
    <t>17718,00</t>
  </si>
  <si>
    <t>ACQUISTO DIAGNOSTICI RIVAROXBAN</t>
  </si>
  <si>
    <t>5873,09</t>
  </si>
  <si>
    <t>5978,72</t>
  </si>
  <si>
    <t>DET. 528/23 PROROGA TECNICA AVEC SERVICE INDAGINI IMMUNOEMATOLOGICHE LOTTO 1</t>
  </si>
  <si>
    <t>107037,58</t>
  </si>
  <si>
    <t>DET.528/23 PROROGA TECNICA AVEC SERVICE INDAGINI IMMUNOEMATOLOGICHE LOTTO 2</t>
  </si>
  <si>
    <t>IMMUCOR ITALIA SRL</t>
  </si>
  <si>
    <t>196515,99</t>
  </si>
  <si>
    <t>144271,07</t>
  </si>
  <si>
    <t>5676,27</t>
  </si>
  <si>
    <t>ASSISTENZA TECNICA 2023 DITTA CARESTREAM</t>
  </si>
  <si>
    <t>2396,00</t>
  </si>
  <si>
    <t>DET. 96/2023 servizio di manutenzione alla carrozzeria e recupero mezzi delle autoambulanze / automediche Azienda Usl di Bologna LOTTO 3</t>
  </si>
  <si>
    <t>27463,00</t>
  </si>
  <si>
    <t>CASA DEL PNEUMATICO DI RAVAGLI ENZO &amp; C SNC</t>
  </si>
  <si>
    <t>det 134/23 adesione intercenter medicinali e radiofarmaci 2023-2025 lotto 121 208</t>
  </si>
  <si>
    <t>17123,22</t>
  </si>
  <si>
    <t>1906,80</t>
  </si>
  <si>
    <t>det 134/23 adesione intercenter medicinali e radiofarmaci 2023-2025 lotto 882 889</t>
  </si>
  <si>
    <t>50424,56</t>
  </si>
  <si>
    <t>2627,78</t>
  </si>
  <si>
    <t>det 134/23 adesione intercenter medicinali e radiofarmaci 2023-2025 lotto 90 91 92  104 131 179 204 311  471</t>
  </si>
  <si>
    <t>RECORDATI RARE DISEASES ITALY SRL</t>
  </si>
  <si>
    <t>304189,23</t>
  </si>
  <si>
    <t>44883,23</t>
  </si>
  <si>
    <t>det 134/23 adesione intercenter medicinali e radiofarmaci 2023-2025 lotto 899</t>
  </si>
  <si>
    <t>SANTEN ITALY SRL</t>
  </si>
  <si>
    <t>det 134/23 adesione intercenter medicinali e radiofarmaci 2023-2025 lotto 467 477</t>
  </si>
  <si>
    <t>SERVIER ITALIA</t>
  </si>
  <si>
    <t>435268,51</t>
  </si>
  <si>
    <t>29115,60</t>
  </si>
  <si>
    <t>det 134/23 adesione intercenter medicinali e radiofarmaci 2023-2025 lotto 240</t>
  </si>
  <si>
    <t>443,40</t>
  </si>
  <si>
    <t>det 134/23 adesione intercenter medicinali e radiofarmaci 2023-2025 lotto 905</t>
  </si>
  <si>
    <t>STALLERGENES ITALIA S.R.L.</t>
  </si>
  <si>
    <t>114156,00</t>
  </si>
  <si>
    <t>14496,00</t>
  </si>
  <si>
    <t>det 134/23 adesione intercenter medicinali e radiofarmaci 2023-2025 lotto 32 33 37 38 724 909</t>
  </si>
  <si>
    <t>317480,73</t>
  </si>
  <si>
    <t>49615,86</t>
  </si>
  <si>
    <t>det 134/23 adesione intercenter medicinali e radiofarmaci 2023-2025 lotto 17</t>
  </si>
  <si>
    <t>INTERCEPT ITALIA</t>
  </si>
  <si>
    <t>607615,92</t>
  </si>
  <si>
    <t>45571,20</t>
  </si>
  <si>
    <t>det 134/23 adesione intercenter medicinali e radiofarmaci 2023-2025 lotto 662</t>
  </si>
  <si>
    <t>552407,52</t>
  </si>
  <si>
    <t>112182,99</t>
  </si>
  <si>
    <t>det.294/2023 adesione intercenter farmaci biologici e biosimilari esclusivi 2023/24 - lotto 4</t>
  </si>
  <si>
    <t>3676,82</t>
  </si>
  <si>
    <t>2626,30</t>
  </si>
  <si>
    <t>5996,20</t>
  </si>
  <si>
    <t>ZIMMER BIOMET ITALIA Srl</t>
  </si>
  <si>
    <t>ACQUISTO TAPPETINO FLUID BUSTER PLUS PER RIANIMAZIONE OM</t>
  </si>
  <si>
    <t>175,00</t>
  </si>
  <si>
    <t>7021,10</t>
  </si>
  <si>
    <t>det 134/23 adesione intercenter medicinali e radiofarmaci 2023-2025 lotto 571</t>
  </si>
  <si>
    <t>ACCORD HEALTHCARE ITALIA</t>
  </si>
  <si>
    <t>61064,80</t>
  </si>
  <si>
    <t>9587,49</t>
  </si>
  <si>
    <t>det 134/23 adesione intercenter medicinali e radiofarmaci 2023-2025 lotto 343</t>
  </si>
  <si>
    <t>89975,64</t>
  </si>
  <si>
    <t>122623,66</t>
  </si>
  <si>
    <t>RG. 615/2022 Consiglio di Stato - Avv. Valerio Tallini</t>
  </si>
  <si>
    <t>245,82</t>
  </si>
  <si>
    <t>det 134/23 adesione intercenter medicinali e radiofarmaci 2023-2025 lotto 134</t>
  </si>
  <si>
    <t>10008005,65</t>
  </si>
  <si>
    <t>Acquisto Tamponi Apt Per Controllo Igiene Superfici</t>
  </si>
  <si>
    <t>3 Emme Italia S.p.A.</t>
  </si>
  <si>
    <t>5250,00</t>
  </si>
  <si>
    <t>25695,00</t>
  </si>
  <si>
    <t>95635,52</t>
  </si>
  <si>
    <t>1210,00</t>
  </si>
  <si>
    <t>Noleggio INATTIVATORE VIRALE E RELATIVO MATERIALE DI CONSUMO</t>
  </si>
  <si>
    <t>907981,44</t>
  </si>
  <si>
    <t>6959,04</t>
  </si>
  <si>
    <t>DETE 269/23 DM X CHIRURGIA VERTEBRALE Proroga 2023 LOMMAR</t>
  </si>
  <si>
    <t>LOMMAR S.r.l.</t>
  </si>
  <si>
    <t>1027,20</t>
  </si>
  <si>
    <t>DETE 269/23 DM X CHIRURGIA VERTEBRALE Proroga 2023 MEDACTA</t>
  </si>
  <si>
    <t>47672,60</t>
  </si>
  <si>
    <t>DETE 269/23 DM X CHIRURGIA VERTEBRALE Proroga 2023 MEDINEXT</t>
  </si>
  <si>
    <t>MEDINEXT S.R.L.</t>
  </si>
  <si>
    <t>DETE 269/23 DM X CHIRURGIA VERTEBRALE Proroga 2023 MEDTRONIC</t>
  </si>
  <si>
    <t>111004,35</t>
  </si>
  <si>
    <t>27330,86</t>
  </si>
  <si>
    <t>DETE 269/23 DM X CHIRURGIA VERTEBRALE Proroga 2023 MERIT</t>
  </si>
  <si>
    <t>Merit Medical Italy S.r.l.</t>
  </si>
  <si>
    <t>2928,65</t>
  </si>
  <si>
    <t>RICAMBI ORIGINALI MALVESTIO PER MANUTENZIONI ATTREZZATURE</t>
  </si>
  <si>
    <t>2401,80</t>
  </si>
  <si>
    <t>6060,74</t>
  </si>
  <si>
    <t>5790,00</t>
  </si>
  <si>
    <t>CORSO PER ADDETTI ALLA GESTIONE DELLE EMERGENZE  RISCHIO ALTO</t>
  </si>
  <si>
    <t>VM ANTINCENDI S.R.L.</t>
  </si>
  <si>
    <t>12058,80</t>
  </si>
  <si>
    <t>DETE.3095- PA PER ACQUISIZIONE SERVIZIO MANUTENZIONE, ASSISTENZA, HELP DESK, SVILUPPO SW PIATTAFORMA BABEL</t>
  </si>
  <si>
    <t>Next s..r.l.</t>
  </si>
  <si>
    <t>446621,60</t>
  </si>
  <si>
    <t>NOLEGGIO SALA MEETING</t>
  </si>
  <si>
    <t>PRESTIGE SRL</t>
  </si>
  <si>
    <t>495,00</t>
  </si>
  <si>
    <t>CIG DERIVATO LOTTO 2 - LA VENENTA</t>
  </si>
  <si>
    <t>LA VENENTA SocietÃ  Cooperativa Sociale</t>
  </si>
  <si>
    <t>388725,00</t>
  </si>
  <si>
    <t>98230,03</t>
  </si>
  <si>
    <t>CIG DERIVATO LOTTO 3 - GENERAZIONI S.C.S.</t>
  </si>
  <si>
    <t>125322,75</t>
  </si>
  <si>
    <t>32520,58</t>
  </si>
  <si>
    <t>ASSISTENZA TECNICA 2023 DITTA COMPAMED</t>
  </si>
  <si>
    <t>COMPAMED SNC</t>
  </si>
  <si>
    <t>909,60</t>
  </si>
  <si>
    <t>5778,48</t>
  </si>
  <si>
    <t>det 134/23 adesione intercenter medicinali e radiofarmaci 2023-2025 lotto 664</t>
  </si>
  <si>
    <t>GrÃ¼nenthal Italia S.r.l.</t>
  </si>
  <si>
    <t>10971,60</t>
  </si>
  <si>
    <t>DIC  COPAPSCOOPERATIVA SOCIALE ARL(GRUPPO APPARTAMENTO CA' DEL BOSCO) INSERIMENTO DISABILIPERIODO 1/01/2023-31/12/2024</t>
  </si>
  <si>
    <t>Copaps Soc. Cooperativa sociale</t>
  </si>
  <si>
    <t>199458,02</t>
  </si>
  <si>
    <t>34276,74</t>
  </si>
  <si>
    <t>AUSL BO DETE 380 2023 AFFIDAMENTO IN CONCESSIONE DEL SERVIZIO BAR PRESSO OSPEDALE DI BUDRIO</t>
  </si>
  <si>
    <t>SIRIO SPA</t>
  </si>
  <si>
    <t>97760,00</t>
  </si>
  <si>
    <t>3456,00</t>
  </si>
  <si>
    <t>DET.484 DEL 21/02/2023FORNITURA DI 2 SISTEMI   VIDEOENDOSCOPICI DIGITALI PER  ENDOSCOPIA  GASTROENTEROLOGICA  PER AUSL BO</t>
  </si>
  <si>
    <t>197274,00</t>
  </si>
  <si>
    <t>4987,62</t>
  </si>
  <si>
    <t>5795,06</t>
  </si>
  <si>
    <t>148,50</t>
  </si>
  <si>
    <t>27268,50</t>
  </si>
  <si>
    <t>5919,34</t>
  </si>
  <si>
    <t>126617,13</t>
  </si>
  <si>
    <t>24110,96</t>
  </si>
  <si>
    <t>det 134/23 adesione intercenter medicinali e radiofarmaci 2023-2025 lotto 142</t>
  </si>
  <si>
    <t>2244714,00</t>
  </si>
  <si>
    <t>552951,60</t>
  </si>
  <si>
    <t>det 134/23 adesione intercenter medicinali e radiofarmaci 2023-2025 lotto 135</t>
  </si>
  <si>
    <t>DAIICHI SANKYO ITALIA</t>
  </si>
  <si>
    <t>5862647,09</t>
  </si>
  <si>
    <t>966441,68</t>
  </si>
  <si>
    <t>det 134/23 adesione intercenter medicinali e radiofarmaci 2023-2025 lotto 41 45 46 75 326 484 500 605 623 681 745 746 747 748</t>
  </si>
  <si>
    <t>11559153,73</t>
  </si>
  <si>
    <t>1973700,16</t>
  </si>
  <si>
    <t>det 134/23 adesione intercenter medicinali e radiofarmaci 2023-2025 lotto 858 e 123 247 248 393 485 556 596 597 700 842 844 854 855 859</t>
  </si>
  <si>
    <t>1252505,02</t>
  </si>
  <si>
    <t>323945,09</t>
  </si>
  <si>
    <t>det 134/23 adesione intercenter medicinali e radiofarmaci 2023-2025 lotto 498 e 16  66 209 342 345 363 364 405 406 407 410</t>
  </si>
  <si>
    <t>13881224,13</t>
  </si>
  <si>
    <t>1981282,88</t>
  </si>
  <si>
    <t>det 134/23 adesione intercenter medicinali e radiofarmaci 2023-2025 lotto 621 e  231 509 514 517 525 527 528 538 567 586 591 598 614 620 626 628 629 630 680 689 856 874 881 884 888 897</t>
  </si>
  <si>
    <t>15793774,42</t>
  </si>
  <si>
    <t>3044473,85</t>
  </si>
  <si>
    <t>ACQUISTO APPARECCHIO PER ANESTESIA OSPEDALE MAGGIORE 2023</t>
  </si>
  <si>
    <t>27192,00</t>
  </si>
  <si>
    <t>SERVIZIO MANUTENZIONE BILANCE</t>
  </si>
  <si>
    <t>LEGNANI UMBERTO S.RLC/DED MOD.1</t>
  </si>
  <si>
    <t>1003,30</t>
  </si>
  <si>
    <t>59403,20</t>
  </si>
  <si>
    <t>CIG DERIVATO LOTTO 5 - MONTEPAOLO</t>
  </si>
  <si>
    <t>MONTEPAOLO Cooperativa Sociale</t>
  </si>
  <si>
    <t>69350,00</t>
  </si>
  <si>
    <t>16758,00</t>
  </si>
  <si>
    <t>CIG DERIVATO LOTTO 5 - SOLCO RAVENNA</t>
  </si>
  <si>
    <t>70744,30</t>
  </si>
  <si>
    <t>CIG DERIVATO LOTTO 5 - L'OASI</t>
  </si>
  <si>
    <t>70737,00</t>
  </si>
  <si>
    <t>37436,21</t>
  </si>
  <si>
    <t>CIG DERIVATO LOTTO 6 - CONSORZIO INDACO</t>
  </si>
  <si>
    <t>765405,00</t>
  </si>
  <si>
    <t>181207,30</t>
  </si>
  <si>
    <t>CIG DERIVATO LOTTO 6 - SOLCO RAVENNA</t>
  </si>
  <si>
    <t>511365,00</t>
  </si>
  <si>
    <t>37213,87</t>
  </si>
  <si>
    <t>CIG DERIVATO LOTTO 6 - MONTEPAOLO</t>
  </si>
  <si>
    <t>41975,00</t>
  </si>
  <si>
    <t>5745,00</t>
  </si>
  <si>
    <t>DET. 96/2023 Servizio quadriennale di manutenzione meccanica, elettrica e recupero mezzi delle autoambulanze /  automediche di proprieta o in uso Azienda Usl di Bologna LOTTO 1</t>
  </si>
  <si>
    <t>196851,00</t>
  </si>
  <si>
    <t>2880,98</t>
  </si>
  <si>
    <t>ASSISTENZA TECNICA 2023 DITTA I.M. MEDICAL</t>
  </si>
  <si>
    <t>5162,00</t>
  </si>
  <si>
    <t>ASSISTENZA TECNICA 2023 DITTA BK MEDICAL</t>
  </si>
  <si>
    <t>BK Medical Italia srl</t>
  </si>
  <si>
    <t>det 487/23 contratto ponte farmaci sostitutivi del fattore VIII - NOVOEIGHT</t>
  </si>
  <si>
    <t>176105,31</t>
  </si>
  <si>
    <t>93980,00</t>
  </si>
  <si>
    <t>det 487/23 contratto ponte farmaci sostitutivi del fattore VIII - KOVALTRY</t>
  </si>
  <si>
    <t>111192,00</t>
  </si>
  <si>
    <t>50907,15</t>
  </si>
  <si>
    <t>Acquisto copriscarpe TNT</t>
  </si>
  <si>
    <t>DREAM DISTRIBUTION S.R.L.</t>
  </si>
  <si>
    <t>2637,00</t>
  </si>
  <si>
    <t>TEMA S.R.L. A SOCIO UNICO</t>
  </si>
  <si>
    <t>25264,00</t>
  </si>
  <si>
    <t>3217,10</t>
  </si>
  <si>
    <t>799,18</t>
  </si>
  <si>
    <t>8085,80</t>
  </si>
  <si>
    <t>4060,75</t>
  </si>
  <si>
    <t>438,10</t>
  </si>
  <si>
    <t>ACQAUISTO DIAGNOSTICI</t>
  </si>
  <si>
    <t>RESNOVA S.r.l.</t>
  </si>
  <si>
    <t>4964,00</t>
  </si>
  <si>
    <t>4942,60</t>
  </si>
  <si>
    <t>det 134/23 adesione intercenter medicinali e radiofarmaci 2023-2025 lotto 63 78 847</t>
  </si>
  <si>
    <t>MUNDIPHARMA PHARMACEUTICALS</t>
  </si>
  <si>
    <t>529436,03</t>
  </si>
  <si>
    <t>63408,59</t>
  </si>
  <si>
    <t>ACQUISTO URGENTE ELETTRODI PER ECG +20% X EMISS ORDINI URGENTI</t>
  </si>
  <si>
    <t>5998,80</t>
  </si>
  <si>
    <t>5663,64</t>
  </si>
  <si>
    <t>det 134/23 adesione intercenter medicinali e radiofarmaci 2023-2025 lotto 431 e 389 390 391 392 394 395 402 408 409 413 419 425 428 429</t>
  </si>
  <si>
    <t>450163,90</t>
  </si>
  <si>
    <t>32924,98</t>
  </si>
  <si>
    <t>5531,50</t>
  </si>
  <si>
    <t>6750,00</t>
  </si>
  <si>
    <t>DET.278/2023.RINNOVO MATERIALE DI CONSUMO PER MICROINFUSORI. ROCHE DIABETES CAREITALY SPA</t>
  </si>
  <si>
    <t>56529,07</t>
  </si>
  <si>
    <t>et 134/23 adesione intercenter medicinali e radiofarmaci 2023-2025 lotto 268 685 714 715</t>
  </si>
  <si>
    <t>LABORATORIO FARMACEUTICO S.I.T. - SPECIALITA' IGIE</t>
  </si>
  <si>
    <t>31208,97</t>
  </si>
  <si>
    <t>6476,74</t>
  </si>
  <si>
    <t>det 134/23 adesione intercenter medicinali e radiofarmaci 2023-2025 lotto 648</t>
  </si>
  <si>
    <t>Merz Pharma Italia srl</t>
  </si>
  <si>
    <t>200970,00</t>
  </si>
  <si>
    <t>38850,00</t>
  </si>
  <si>
    <t>det 134/23 adesione intercenter medicinali e radiofarmaci 2023-2025 lotto 354</t>
  </si>
  <si>
    <t>PHARMATEX ITALIA SRL</t>
  </si>
  <si>
    <t>2910,00</t>
  </si>
  <si>
    <t>det 134/23 adesione intercenter medicinali e radiofarmaci 2023-2025 lotto 82 112 113 161 197 211 249 320 321 324 329 540 730  754 782 863 883</t>
  </si>
  <si>
    <t>164458,23</t>
  </si>
  <si>
    <t>25781,49</t>
  </si>
  <si>
    <t>det 134/23 adesione intercenter medicinali e radiofarmaci 2023-2025 lotto 122</t>
  </si>
  <si>
    <t>ZENTIVA ITALIA S.R.L.</t>
  </si>
  <si>
    <t>11700,00</t>
  </si>
  <si>
    <t>6904,50</t>
  </si>
  <si>
    <t>5341,54</t>
  </si>
  <si>
    <t>5954,08</t>
  </si>
  <si>
    <t>6413,03</t>
  </si>
  <si>
    <t>5263,28</t>
  </si>
  <si>
    <t>172,00</t>
  </si>
  <si>
    <t>ACQUISTO LAME PER MIRINGOTOMO</t>
  </si>
  <si>
    <t>765,00</t>
  </si>
  <si>
    <t>ACQUISTO COPRISONDA</t>
  </si>
  <si>
    <t>5995,44</t>
  </si>
  <si>
    <t>2242,20</t>
  </si>
  <si>
    <t>ACQUISTO PALLONCINI PER ECOENDOSCOPIO</t>
  </si>
  <si>
    <t>AORTA SRL</t>
  </si>
  <si>
    <t>1756,80</t>
  </si>
  <si>
    <t>Acquisto lenzuolo Eco Therm- PI078726-23</t>
  </si>
  <si>
    <t>38232,00</t>
  </si>
  <si>
    <t>7965,00</t>
  </si>
  <si>
    <t>5933,05</t>
  </si>
  <si>
    <t>ACQ. CAVI E ALTRI ACCESSORI ECG PER STRUMENTARIO MORTARA DI PROPRIETA'</t>
  </si>
  <si>
    <t>1928,64</t>
  </si>
  <si>
    <t>det 134/23 adesione intercenter medicinali e radiofarmaci 2023-2025 lotto 869</t>
  </si>
  <si>
    <t>295337,41</t>
  </si>
  <si>
    <t>ASSISTENZA TECNICA 2023 DITTA ESAOTE</t>
  </si>
  <si>
    <t>ESAOTE S.p.A.</t>
  </si>
  <si>
    <t>5847,42</t>
  </si>
  <si>
    <t>det 134/23 adesione intercenter medicinali e radiofarmaci 2023-2025 lotto 871</t>
  </si>
  <si>
    <t>6451197,09</t>
  </si>
  <si>
    <t>det 134/23 adesione intercenter medicinali e radiofarmaci 2023-2025 lotto 158 159</t>
  </si>
  <si>
    <t>Vifor Pharma Italia srl</t>
  </si>
  <si>
    <t>1429823,52</t>
  </si>
  <si>
    <t>244033,48</t>
  </si>
  <si>
    <t>det 134/23 adesione intercenter medicinali e radiofarmaci 2023-2025 lotto 712</t>
  </si>
  <si>
    <t>82770,30</t>
  </si>
  <si>
    <t>68975,04</t>
  </si>
  <si>
    <t>QUANTERIX CORPORATION</t>
  </si>
  <si>
    <t>42817,52</t>
  </si>
  <si>
    <t>1034,40</t>
  </si>
  <si>
    <t>DET. 96/2023 Servizio quadriennale di manutenzione alla carrozzeria e recupero mezzi delle autoambulanze / automediche Azienda Usl di Bologna LOTTO 2</t>
  </si>
  <si>
    <t>78607,00</t>
  </si>
  <si>
    <t>DET.96/2023 Servizio di manutenzione alla carrozzeria e recupero mezzi delle autoambulanze / automediche Azienda Usl di Bologna LOTTO 4</t>
  </si>
  <si>
    <t>157213,00</t>
  </si>
  <si>
    <t>11308,54</t>
  </si>
  <si>
    <t>SOL ET SALUS SPA</t>
  </si>
  <si>
    <t>178000,00</t>
  </si>
  <si>
    <t>115181,95</t>
  </si>
  <si>
    <t>VILLA SALUS S.R.L. - CASA DI CURA</t>
  </si>
  <si>
    <t>90000,00</t>
  </si>
  <si>
    <t>28271,00</t>
  </si>
  <si>
    <t>COOP. LUCE SUL MARE - IGEA MARINA</t>
  </si>
  <si>
    <t>225000,00</t>
  </si>
  <si>
    <t>50861,40</t>
  </si>
  <si>
    <t>4083,82</t>
  </si>
  <si>
    <t>CENTRO KOS S.R.L.</t>
  </si>
  <si>
    <t>58558,54</t>
  </si>
  <si>
    <t>56679,90</t>
  </si>
  <si>
    <t>5720,00</t>
  </si>
  <si>
    <t>ACQWUISTO DIAGNOSTICI</t>
  </si>
  <si>
    <t>5387,12</t>
  </si>
  <si>
    <t>3392/2022 SISTEMI DI DRENAGGIO PI144717-22 lotto 2</t>
  </si>
  <si>
    <t>4164,00</t>
  </si>
  <si>
    <t>223,00</t>
  </si>
  <si>
    <t>3392/2022 SISTEMI DI DRENAGGIO PI144717-22 lotto 3</t>
  </si>
  <si>
    <t>209475,00</t>
  </si>
  <si>
    <t>30374,04</t>
  </si>
  <si>
    <t>3392/2022 SISTEMI DI DRENAGGIO PI144717-22 lotto 4</t>
  </si>
  <si>
    <t>REDAX SPA</t>
  </si>
  <si>
    <t>3392/2022 SISTEMI DI DRENAGGIO PI144717-22 lotto 5</t>
  </si>
  <si>
    <t>58800,00</t>
  </si>
  <si>
    <t>2156,00</t>
  </si>
  <si>
    <t>AVV. MICHELE TAVAZZI, CORTE D'APPELLO RG. 1326/2015 - SENTENZA 263/2022</t>
  </si>
  <si>
    <t>TAVAZZI MICHELE</t>
  </si>
  <si>
    <t>17763,09</t>
  </si>
  <si>
    <t>det 134/23 adesione intercenter medicinali e radiofarmaci 2023-2025 lotto 906</t>
  </si>
  <si>
    <t>71132,44</t>
  </si>
  <si>
    <t>17280,00</t>
  </si>
  <si>
    <t>ACQ. CAVI ECG PER STRUMENTI DI PROPRIETA' PHILIPS -</t>
  </si>
  <si>
    <t>719,16</t>
  </si>
  <si>
    <t>2234,90</t>
  </si>
  <si>
    <t>DETE 346 2023 AFFIDAMENTO DIRETTO DI UN SISTEMA PCR PER IRCCS DI BOLOGNA</t>
  </si>
  <si>
    <t>Olink Proteomics AB</t>
  </si>
  <si>
    <t>168079,29</t>
  </si>
  <si>
    <t>42793,49</t>
  </si>
  <si>
    <t>RICCIONE TERME SOCIETA' PER AZIONI</t>
  </si>
  <si>
    <t>80100,00</t>
  </si>
  <si>
    <t>12011,51</t>
  </si>
  <si>
    <t>22900,00</t>
  </si>
  <si>
    <t>5406,49</t>
  </si>
  <si>
    <t>36500,00</t>
  </si>
  <si>
    <t>1079,32</t>
  </si>
  <si>
    <t>1533,86</t>
  </si>
  <si>
    <t>PA CONTRATTO DI MANUTENZIONE OTTICHE RIGIDE PER AUSLBO-DET.3393 DEL 29.12.2022</t>
  </si>
  <si>
    <t>177330,00</t>
  </si>
  <si>
    <t>16550,00</t>
  </si>
  <si>
    <t>Acquisto di 1 Sollevamalati per le esigenze della terapia semi intensiva Ospedale Maggiore 2023</t>
  </si>
  <si>
    <t>4115,50</t>
  </si>
  <si>
    <t>MR LIFE SCIENCE S.R.L.</t>
  </si>
  <si>
    <t>7025,00</t>
  </si>
  <si>
    <t>AMS GROUP S.R.L. S.U.</t>
  </si>
  <si>
    <t>39998,00</t>
  </si>
  <si>
    <t>14999,00</t>
  </si>
  <si>
    <t>5839,00</t>
  </si>
  <si>
    <t>Flexicare Srl</t>
  </si>
  <si>
    <t>5269,00</t>
  </si>
  <si>
    <t>DETE N. 784 DEL 21/03/2023 LA FORNITURA IN ACQUISTO DI STRUMENTAZIONE NECESSARIA ALLA GESTIONE DELLE PATOLOGIE OCULISTICHE PER Lâ€™AZIENDA USL DI BOLOGNA</t>
  </si>
  <si>
    <t>739000,00</t>
  </si>
  <si>
    <t>235750,00</t>
  </si>
  <si>
    <t>4620,77</t>
  </si>
  <si>
    <t>3451,11</t>
  </si>
  <si>
    <t>2925,00</t>
  </si>
  <si>
    <t>6504,76</t>
  </si>
  <si>
    <t>GC AESTHETICS ITALY S.R.L.</t>
  </si>
  <si>
    <t>1925,00</t>
  </si>
  <si>
    <t>Acquisto di n 1 Audiometro per Ambulatorio ORL della Casa della Salute di San Lazzaro AUSL Bologna</t>
  </si>
  <si>
    <t>3290,00</t>
  </si>
  <si>
    <t>DETE 269/23 DM X CHIRURGIA VERTEBRALE Proroga 2023 BIOPSYBELL</t>
  </si>
  <si>
    <t>Biopsybell S.r.l.</t>
  </si>
  <si>
    <t>9425,00</t>
  </si>
  <si>
    <t>DETE 269/23 DM X CHIRURGIA VERTEBRALE Proroga 2023 G21</t>
  </si>
  <si>
    <t>G21 S.R.L.</t>
  </si>
  <si>
    <t>540000,00</t>
  </si>
  <si>
    <t>163516,82</t>
  </si>
  <si>
    <t>5912,25</t>
  </si>
  <si>
    <t>5915,00</t>
  </si>
  <si>
    <t>ADESIONE CONVENZIONE CONSIP TELECOMANDATI PER ESAMI DI REPARTO-LOTTO 1-DET 362 DELL' 8.2.2023</t>
  </si>
  <si>
    <t>General Medical Merate SPA</t>
  </si>
  <si>
    <t>2932000,00</t>
  </si>
  <si>
    <t>ACQUISTO ETICHETTE PER SERVIZIO TRASFUSIONALE/CENTRO RACC. SANGUE E LAB.ANALISI</t>
  </si>
  <si>
    <t>4120,00</t>
  </si>
  <si>
    <t>Acquisizione servizi di manutenzione e assistenza per i prodotti in elenco come da capitolato</t>
  </si>
  <si>
    <t>Anastasis Soc. Coop.</t>
  </si>
  <si>
    <t>ASSISTENZA TECNICA 2023 DITTA MEDICAL LISI</t>
  </si>
  <si>
    <t>MEDICAL LISI DI FRANCESCO LISI</t>
  </si>
  <si>
    <t>974,00</t>
  </si>
  <si>
    <t>ASSISTENZA TECNICA 2023 DITTA SOMNO MEDICS ITALIA</t>
  </si>
  <si>
    <t>SOMNOmedics Italia S.r.l.</t>
  </si>
  <si>
    <t>750,00</t>
  </si>
  <si>
    <t>ACQUISTO PARAFARMACI, DIETETICI EXTRAPRONTUARIO</t>
  </si>
  <si>
    <t>AFM  S.P.A.</t>
  </si>
  <si>
    <t>562,18</t>
  </si>
  <si>
    <t>4896,81</t>
  </si>
  <si>
    <t>ASSISTENZA TECNICA 2023 DITTA ANALITICAL CONTROL DE MORI</t>
  </si>
  <si>
    <t>ANALYTICAL CONTROL DE MORI SRL</t>
  </si>
  <si>
    <t>ACQUISTO CINTURE PER CARDIOTOCOGRAFO</t>
  </si>
  <si>
    <t>ARTSANITY SRL</t>
  </si>
  <si>
    <t>Acquisizione servizi di manutenzione nÂ°3 (tre) licenze sistema Instant Developer versione Enterprise linea Java</t>
  </si>
  <si>
    <t>PRO GAMMA SPA</t>
  </si>
  <si>
    <t>10710,00</t>
  </si>
  <si>
    <t>3392/2022 SISTEMI DI DRENAGGIO PI144717-22 lotto 1</t>
  </si>
  <si>
    <t>8077,00</t>
  </si>
  <si>
    <t>THERMAE OASIS - S.R.L.</t>
  </si>
  <si>
    <t>3690,34</t>
  </si>
  <si>
    <t>FOOD &amp; HOSPITALITY GROUP S.R.L. IN FORMA ABBREVIAT</t>
  </si>
  <si>
    <t>23700,00</t>
  </si>
  <si>
    <t>5031,52</t>
  </si>
  <si>
    <t>6900,20</t>
  </si>
  <si>
    <t>APR Applied Pharma Research</t>
  </si>
  <si>
    <t>2992,50</t>
  </si>
  <si>
    <t>PROROGA TECNICA MANUT. E GESTIONE ATTREZZATURE BIOMEDICALI X AVE-DET. 682 DEL 10.3.2023</t>
  </si>
  <si>
    <t>Adiramef S.r.l.</t>
  </si>
  <si>
    <t>2500000,00</t>
  </si>
  <si>
    <t>104942,20</t>
  </si>
  <si>
    <t>Acquisizione nÂ°5 (cinque) stampanti termiche Datamax E-4205A E-Class Mark III come da capitolato</t>
  </si>
  <si>
    <t>1108,50</t>
  </si>
  <si>
    <t>IMS S.R.L.</t>
  </si>
  <si>
    <t>3900,00</t>
  </si>
  <si>
    <t>990,00</t>
  </si>
  <si>
    <t>CANE' S.p.A. - SOCIO UNICO</t>
  </si>
  <si>
    <t>7012,80</t>
  </si>
  <si>
    <t>Medical Turn Key</t>
  </si>
  <si>
    <t>5906,40</t>
  </si>
  <si>
    <t>Determina di aggiudicazione n. 645 del 07/03/2023 -Fornitura a completamento  di n. 3 videobroncoscopi diagnostici mod. EB15-J10 Pentax compatibili con i videoprocessori Pentax giÃ  in uso presso la U.O. Endoscopia Toracica dellâ€™Ospedale Maggiore.</t>
  </si>
  <si>
    <t>56025,00</t>
  </si>
  <si>
    <t>ACQUISTO MATERIALE NEURODIAGNOSTICO</t>
  </si>
  <si>
    <t>14789,00</t>
  </si>
  <si>
    <t>6584,60</t>
  </si>
  <si>
    <t>5992,51</t>
  </si>
  <si>
    <t>PI033854 ACQUISTO DIAGNOSTICI PER RICERCA</t>
  </si>
  <si>
    <t>38937,60</t>
  </si>
  <si>
    <t>Noleggio di 60 mesi di un Ventilatore neonatale da trasporto per Porretta 2023</t>
  </si>
  <si>
    <t>Burke&amp;Burke</t>
  </si>
  <si>
    <t>LE GAMBERI FOODS S.R.L.</t>
  </si>
  <si>
    <t>5933,28</t>
  </si>
  <si>
    <t>ACQUISTO ETICHETTE PER LABORATORIO ANALISI E CENTRO TRASFUSIONALE</t>
  </si>
  <si>
    <t>38137,78</t>
  </si>
  <si>
    <t>30969,46</t>
  </si>
  <si>
    <t>27463,89</t>
  </si>
  <si>
    <t>11259,62</t>
  </si>
  <si>
    <t>5910,00</t>
  </si>
  <si>
    <t>ACQUISTO BORSE ANTI URTO PER TRASPORTO MONNAL T60</t>
  </si>
  <si>
    <t>1156,00</t>
  </si>
  <si>
    <t>AURORA BIOFARMA SRL</t>
  </si>
  <si>
    <t>3125,35</t>
  </si>
  <si>
    <t>AUSL DI BOLOGNA  CORSO PER ADDETTI ALLA GESTIONE DELLE EMERGENZE  RISCHIO ALTO</t>
  </si>
  <si>
    <t>4036,90</t>
  </si>
  <si>
    <t>Acquisto Materiale Accessorio per Laboratorio</t>
  </si>
  <si>
    <t>INCOFAR SRL</t>
  </si>
  <si>
    <t>1267,44</t>
  </si>
  <si>
    <t>Workshop Coprgettazione dei percorsi con il Mental Health Recovery Star</t>
  </si>
  <si>
    <t>IL CHIARO DEL BOSCO ONLUS</t>
  </si>
  <si>
    <t>2600,00</t>
  </si>
  <si>
    <t>ACQUISTO DISPOSITIVI ANTIDECUBITO PER POSIZIONAMENTO PAZIENTI</t>
  </si>
  <si>
    <t>4733,40</t>
  </si>
  <si>
    <t>Acquisizione nÂ°144 (centoquarantaquattro) accessori per tablet a NOLEGGIO Microsoft Surface Pro â€“ Cover &amp; Glass Protection</t>
  </si>
  <si>
    <t>5616,00</t>
  </si>
  <si>
    <t>4975,46</t>
  </si>
  <si>
    <t>ACQUISTO GALENICI</t>
  </si>
  <si>
    <t>FARMACIA DEL PAVAGLIONE SRL</t>
  </si>
  <si>
    <t>5776,90</t>
  </si>
  <si>
    <t>Acquisto materiale neurodiagnostico</t>
  </si>
  <si>
    <t>MICROMED s.r.l.</t>
  </si>
  <si>
    <t>9238,44</t>
  </si>
  <si>
    <t>4892,80</t>
  </si>
  <si>
    <t>6164,20</t>
  </si>
  <si>
    <t>6003,28</t>
  </si>
  <si>
    <t>4993,48</t>
  </si>
  <si>
    <t>5405,00</t>
  </si>
  <si>
    <t>6771,98</t>
  </si>
  <si>
    <t>5320,00</t>
  </si>
  <si>
    <t>798,00</t>
  </si>
  <si>
    <t>ACQUISTO STRUMENTARIO</t>
  </si>
  <si>
    <t>3350,68</t>
  </si>
  <si>
    <t>Acquisto copertura igiene lenzuolo TNT -PI078445-23</t>
  </si>
  <si>
    <t>F.A.S.E. S.R.L.</t>
  </si>
  <si>
    <t>32840,00</t>
  </si>
  <si>
    <t>7954,20</t>
  </si>
  <si>
    <t>RDO Intercent-ER PI072670-23 - Acquisizione nÂ°1 (una) licenza perpetua commerciale (Stand Alone PC) SW Stata17/SE (1 Utente) (CSE171) come da capitolato</t>
  </si>
  <si>
    <t>TSTAT SRL</t>
  </si>
  <si>
    <t>3329,92</t>
  </si>
  <si>
    <t>Manutenzione e assistenza sistema SW Instacount (Centrali di sterilizzazione AUSL) come da capitolato</t>
  </si>
  <si>
    <t>4916,75</t>
  </si>
  <si>
    <t>Contratto ponte per la fornitura di toner originali Ausl Bo nelle more attivazione nuova convenzione Intercent-ER. Determina n. 271 del 31/01/2023</t>
  </si>
  <si>
    <t>108000,00</t>
  </si>
  <si>
    <t>105477,77</t>
  </si>
  <si>
    <t>CASA DI CURA AI COLLI</t>
  </si>
  <si>
    <t>4050000,00</t>
  </si>
  <si>
    <t>1884272,22</t>
  </si>
  <si>
    <t>VILLA BARUZZIANA S.P.A.</t>
  </si>
  <si>
    <t>5720000,00</t>
  </si>
  <si>
    <t>2714577,29</t>
  </si>
  <si>
    <t>CASA DI CURA VILLA BELLOMBRA</t>
  </si>
  <si>
    <t>5845000,00</t>
  </si>
  <si>
    <t>3354471,16</t>
  </si>
  <si>
    <t>36086,45</t>
  </si>
  <si>
    <t>Acquisto n.3 (tre) snodo porta monitor allungabile per monitor fino a 24'' (p/n M0-0N-a)</t>
  </si>
  <si>
    <t>Nitz engineering S.r.l.</t>
  </si>
  <si>
    <t>519,56</t>
  </si>
  <si>
    <t>DET.332/2023 RINNOVO BIENNALE SERVICE SISTEMI MODULARI APERTI PER CROMATOLOGIA LIQUIDA AD ALTE PRESTAZIONI HPLC DETERMINAZIONE DELLA CDT</t>
  </si>
  <si>
    <t>143146,00</t>
  </si>
  <si>
    <t>18607,10</t>
  </si>
  <si>
    <t>Acquisto di un elettrocardiografo carrellato per le esigenze della Stroke Ospedale  Maggiore piu 1 in opzione 2023</t>
  </si>
  <si>
    <t>LABORATORIO DI ANALISI CLINICHE - CITTA'DI FIDENZA</t>
  </si>
  <si>
    <t>301,83</t>
  </si>
  <si>
    <t>45000,00</t>
  </si>
  <si>
    <t>371,76</t>
  </si>
  <si>
    <t>192,65</t>
  </si>
  <si>
    <t>SAN GIORGIO SRL CENTRO MEDICO</t>
  </si>
  <si>
    <t>CENTRO DENTISTICO ROMAGNOLO S.R.L.</t>
  </si>
  <si>
    <t>POLIAMBULATORIO B.C.P. SRL</t>
  </si>
  <si>
    <t>CATERING PER EVENTI COMUNICAZIONE AZIENDALE</t>
  </si>
  <si>
    <t>CIRCOLO AZIENDALE RAVONE</t>
  </si>
  <si>
    <t>895,55</t>
  </si>
  <si>
    <t>PROCURA SPECIALE A DOMICILIO - REGISTRATA (N. 1 COPIA AUTENTICA IN BOLLO E COPIA DIGITALE) IN DATA 24/02/2023 REPERTORIO N. 11102/7771 NOTAIO BULDINI ALBERTO</t>
  </si>
  <si>
    <t>NOTAIO DOTT. ALBERTO BULDINI</t>
  </si>
  <si>
    <t>774,52</t>
  </si>
  <si>
    <t>619,52</t>
  </si>
  <si>
    <t>MATERIALE DI CONSUMO DEDICATO FUNZIONAMENTO SISTEMI MOTORIZZATI ORTOPEDIA</t>
  </si>
  <si>
    <t>4939,80</t>
  </si>
  <si>
    <t>ASSISTENZA TECNICA 2023 DITTA DE SOUTTER MEDICAL</t>
  </si>
  <si>
    <t>DE SOUTTER MEDICAL LTD</t>
  </si>
  <si>
    <t>394,00</t>
  </si>
  <si>
    <t>13500,00</t>
  </si>
  <si>
    <t>3233,96</t>
  </si>
  <si>
    <t>1288500,00</t>
  </si>
  <si>
    <t>652950,85</t>
  </si>
  <si>
    <t>24725,00</t>
  </si>
  <si>
    <t>7967,90</t>
  </si>
  <si>
    <t>18230,00</t>
  </si>
  <si>
    <t>3315,00</t>
  </si>
  <si>
    <t>5534,80</t>
  </si>
  <si>
    <t>6782,75</t>
  </si>
  <si>
    <t>Fornitura integrativa di pile per l'Ausl di Bologna- contratto di cui al recepimento procedura di gara dell'Ausl di Ferrara con det. 888/2020 - Nota prot. n. 33894 del 26/03/2023</t>
  </si>
  <si>
    <t>6465,96</t>
  </si>
  <si>
    <t>1457,42</t>
  </si>
  <si>
    <t>DC CHEMICALS LIMITED</t>
  </si>
  <si>
    <t>201,98</t>
  </si>
  <si>
    <t>6942,00</t>
  </si>
  <si>
    <t>5988,40</t>
  </si>
  <si>
    <t>4885,55</t>
  </si>
  <si>
    <t>SERVIZIO DI VERIFICA DELLA DURATA DI 12 MESI SULLE APPARECCHIATURE ELETTROMEDICALI E BIOMEDICALI PER AUSLBO-DET. 1054 DEL 18.4.2023</t>
  </si>
  <si>
    <t>54734,00</t>
  </si>
  <si>
    <t>Acquisto materiale Odontoiatrico Catalogo Gerho</t>
  </si>
  <si>
    <t>DET.1432/23 CONTRATTO PONTE PER LA FORNITURA DI MATERIALE DA MEDICAZIONE AVANZATA 2 IN CONCORRENZA.</t>
  </si>
  <si>
    <t>4575,12</t>
  </si>
  <si>
    <t>1117,43</t>
  </si>
  <si>
    <t>5652,00</t>
  </si>
  <si>
    <t>DET.1452/23-STRISCE REATTIVE USO TERRITORIALE PER CONTINUITA' TERAPEUTICA CONTRATTO PONTE</t>
  </si>
  <si>
    <t>OTTANI S.N.C DI OTTANI ANGELO E C.</t>
  </si>
  <si>
    <t>DT. 1480/2023 -Endoprotesi ed endoprotesi addominali e toraciche per le patologie dell'aorta addominale</t>
  </si>
  <si>
    <t>ASSISTENZA TECNICA 2023 DITTA SMITH MEDICAL ITALIA</t>
  </si>
  <si>
    <t>Gilson Italia Srl</t>
  </si>
  <si>
    <t>2679,00</t>
  </si>
  <si>
    <t>ANALLERGO S.r.l.</t>
  </si>
  <si>
    <t>2700,00</t>
  </si>
  <si>
    <t>5045,60</t>
  </si>
  <si>
    <t>2885,90</t>
  </si>
  <si>
    <t>ASSISTENZA TECNICA 2023 DITTA E.M.S.</t>
  </si>
  <si>
    <t>E.M.S. Srl</t>
  </si>
  <si>
    <t>5990,40</t>
  </si>
  <si>
    <t>ASSISTENZA TECNICA 2023 DITTA LABOINDUSTRIA</t>
  </si>
  <si>
    <t>588,00</t>
  </si>
  <si>
    <t>5306,40</t>
  </si>
  <si>
    <t>Acquisizione nÂ°1 (una) stampante a colori Epson Workforce C5890DWF in sostituzione di guasta non riparabile</t>
  </si>
  <si>
    <t>5818,30</t>
  </si>
  <si>
    <t>repaire exchange storz</t>
  </si>
  <si>
    <t>1577,24</t>
  </si>
  <si>
    <t>DET.1117/23-DEFIBRILLATORI IMPIANTABILI E PACEMAKER CONTRATTO PONTE</t>
  </si>
  <si>
    <t>21882,90</t>
  </si>
  <si>
    <t>5468,14</t>
  </si>
  <si>
    <t>CROCE BIANCA SERVIZI FARMACIA</t>
  </si>
  <si>
    <t>FARMACIA CROCE BIANCA DEI DOTTORI FERRARESI FRANCO</t>
  </si>
  <si>
    <t>27714,00</t>
  </si>
  <si>
    <t>6451,20</t>
  </si>
  <si>
    <t>DE PISIS SERVIZI FARMACIA</t>
  </si>
  <si>
    <t>FARMACIA DE PISIS DELLA DOTT.SSA MALDARELLI ANNA</t>
  </si>
  <si>
    <t>23104,00</t>
  </si>
  <si>
    <t>DEL BORGO SERVIZI FARMACIA</t>
  </si>
  <si>
    <t>FARMACIA DEL BORGO S.R.L.</t>
  </si>
  <si>
    <t>24326,00</t>
  </si>
  <si>
    <t>4628,40</t>
  </si>
  <si>
    <t>VILLAGGIO PANIGALE SERVIZI FARMACIA</t>
  </si>
  <si>
    <t>FARMACIA DEL VILLAGGIO PANIGALE</t>
  </si>
  <si>
    <t>33772,00</t>
  </si>
  <si>
    <t>7246,60</t>
  </si>
  <si>
    <t>PORTA LAME SERVIZI FARMACIA</t>
  </si>
  <si>
    <t>FARMACIA PORTA LAME</t>
  </si>
  <si>
    <t>18001,00</t>
  </si>
  <si>
    <t>LODI SERVIZI FARMACIA</t>
  </si>
  <si>
    <t>FARM.LODI DR.DALLOSSO ROBERTO</t>
  </si>
  <si>
    <t>2151,80</t>
  </si>
  <si>
    <t>SAN BENEDETTO SERVIZI FARMACIA</t>
  </si>
  <si>
    <t>FARMACIA SAN BENEDETTO DEI DOTT. SAGUATTI PAOLO</t>
  </si>
  <si>
    <t>2837,00</t>
  </si>
  <si>
    <t>815,20</t>
  </si>
  <si>
    <t>MIARI BARONI SERVIZI FARMACIA</t>
  </si>
  <si>
    <t>FARMACIA MIARI BARONI SNC (1/1/09)</t>
  </si>
  <si>
    <t>22594,00</t>
  </si>
  <si>
    <t>4955,30</t>
  </si>
  <si>
    <t>PELLICCIARI SERVIZI FARMACIA</t>
  </si>
  <si>
    <t>FARMACIA PELLICCIARI DI  PELLICCIARI E BOTTIGLIERI</t>
  </si>
  <si>
    <t>24061,00</t>
  </si>
  <si>
    <t>5155,00</t>
  </si>
  <si>
    <t>4050,32</t>
  </si>
  <si>
    <t>Acquisizione HW per Azienda USL (PO 847) - RDO Intercent-ER PI152882-23 Acquisizione materiale informatico per Piani attivitÃ  2021-2023 Fondo per Alzheimer e Demenze - RER Area tematica 3 come da capitolato</t>
  </si>
  <si>
    <t>2683,00</t>
  </si>
  <si>
    <t>det. n.    Adesione Intercenter Guanti monouso non sterili e sterili - lotto 1 accordo quadro</t>
  </si>
  <si>
    <t>Chemil S.r.l.</t>
  </si>
  <si>
    <t>787200,00</t>
  </si>
  <si>
    <t>det. n.   Adesione Intercenter Guanti monouso non sterili e sterili 2023/25 - lotto 1 accordo quadro</t>
  </si>
  <si>
    <t>258000,00</t>
  </si>
  <si>
    <t>LINK ITALIA S.p.A.</t>
  </si>
  <si>
    <t>3238,45</t>
  </si>
  <si>
    <t>4136,00</t>
  </si>
  <si>
    <t>NOVATECH SRL NEW TECHNOLOGY FOR LIFE</t>
  </si>
  <si>
    <t>3484,80</t>
  </si>
  <si>
    <t>ACQUISTO MATERIALE DI CANCELLERIA VARIA</t>
  </si>
  <si>
    <t>989,47</t>
  </si>
  <si>
    <t>Acquisto dispositivi pulizia cavo orale originali marca Kimberly  Clark - PI081066-23</t>
  </si>
  <si>
    <t>39910,00</t>
  </si>
  <si>
    <t>14527,50</t>
  </si>
  <si>
    <t>BEAVER VISITEC INTERNATIONAL SALS LTD</t>
  </si>
  <si>
    <t>811,85</t>
  </si>
  <si>
    <t>DET.1455/2023 fornitura di un portatile per radioscopia occorrente al Blocco Operatorio Ospedale di San Giovanni in Persiceto</t>
  </si>
  <si>
    <t>simad s.r.l.</t>
  </si>
  <si>
    <t>85000,00</t>
  </si>
  <si>
    <t>EMILIA SERVIZI FARMACIA</t>
  </si>
  <si>
    <t>FARMACIA EMILIA DI NANNI G. C.</t>
  </si>
  <si>
    <t>21567,00</t>
  </si>
  <si>
    <t>EUROMED SRL</t>
  </si>
  <si>
    <t>ACQUISTO PRODOTTI PULIZIA E IGIENE AMBIENTE PI163627-23 INTERCENTER</t>
  </si>
  <si>
    <t>ITALCHIM SRL</t>
  </si>
  <si>
    <t>36697,00</t>
  </si>
  <si>
    <t>1317,60</t>
  </si>
  <si>
    <t>DET.1479/23 RINNOVO ANNUALE di materiale di consumo dedicato per lâ€™aspiratore ad ultrasuoni SONOPET OMNI, per le necessitÃ  della Neurochirugia dell'Ospedale Bellaria dell'Ausl di Bologna</t>
  </si>
  <si>
    <t>Acquisto di strumentazione da laboratorio per IRCCS Bellaria</t>
  </si>
  <si>
    <t>DI GIOVANNI SRL</t>
  </si>
  <si>
    <t>646,80</t>
  </si>
  <si>
    <t>6818,32</t>
  </si>
  <si>
    <t>1830,24</t>
  </si>
  <si>
    <t>manutenzione caschi elisoccorso</t>
  </si>
  <si>
    <t>NORTHWALL</t>
  </si>
  <si>
    <t>35480,00</t>
  </si>
  <si>
    <t>916,01</t>
  </si>
  <si>
    <t>RINNOVO ABBONAMENTI A RIVISTE DEJURE E RI.DA.RE - ANNO 2023</t>
  </si>
  <si>
    <t>1976,00</t>
  </si>
  <si>
    <t>RINNOVO ABBONAMENTI ALLA RIVISTA "RESPONSABILITA' MEDICA" - ANNO 2023</t>
  </si>
  <si>
    <t>PACINI EDITORE SRL</t>
  </si>
  <si>
    <t>100,00</t>
  </si>
  <si>
    <t>SS TRINITA' SERVIZI FARMACIA</t>
  </si>
  <si>
    <t>FARMACIA SS. TRINITA</t>
  </si>
  <si>
    <t>19305,00</t>
  </si>
  <si>
    <t>4300,70</t>
  </si>
  <si>
    <t>BERTUZZI SERVIZI FARMACIA</t>
  </si>
  <si>
    <t>FARMACIA BERTUZZI</t>
  </si>
  <si>
    <t>7748,00</t>
  </si>
  <si>
    <t>INDUSTRIA FARMACEUTICA GALENICA SENESE SRL</t>
  </si>
  <si>
    <t>2764,80</t>
  </si>
  <si>
    <t>det.n.  Adesione Intercenter Guanti monouso non sterili e sterili 2023/25 - lotto 4</t>
  </si>
  <si>
    <t>980000,00</t>
  </si>
  <si>
    <t>MODIFICHE ARREDI SU MISURA STROKE</t>
  </si>
  <si>
    <t>3292,00</t>
  </si>
  <si>
    <t>ACQUISTO ARTICOLI VETRERIA</t>
  </si>
  <si>
    <t>1890,00</t>
  </si>
  <si>
    <t>CONVENZIONE AUSLBO e SAER PER SOCCORSO SANITARIO MAGGIO 2023 APRILE 2026</t>
  </si>
  <si>
    <t>SOCCORSO ALPINO EMILIA ROMAGNA SAER  ONLUS</t>
  </si>
  <si>
    <t>2586366,00</t>
  </si>
  <si>
    <t>314509,40</t>
  </si>
  <si>
    <t>3069,25</t>
  </si>
  <si>
    <t>ORTHOFIX SRL</t>
  </si>
  <si>
    <t>7016,76</t>
  </si>
  <si>
    <t>ASSISTENZA TECNICA 2023 DITTA SIDAM SRL</t>
  </si>
  <si>
    <t>SIDAM SRL</t>
  </si>
  <si>
    <t>380,00</t>
  </si>
  <si>
    <t>6600,00</t>
  </si>
  <si>
    <t>SANT'ANDREA ALLA BARCA SERVIZI FARMACIA</t>
  </si>
  <si>
    <t>FARMACIE ASSOCIATE MF DEI DOTT. A. MARANI E M. FRA</t>
  </si>
  <si>
    <t>39093,00</t>
  </si>
  <si>
    <t>9603,80</t>
  </si>
  <si>
    <t>ANTICA ZARRI NARDI TROLLI SERVIZI FARMACIA</t>
  </si>
  <si>
    <t>ANTICA FARMACIA ZARRI NARDI TROLLI DI NARDI LUCA</t>
  </si>
  <si>
    <t>40776,00</t>
  </si>
  <si>
    <t>9013,90</t>
  </si>
  <si>
    <t>DET. 1279 DEL 15.05.2023-ASSISTENZA SU SISTEMI DI SPETTROMETRIA DI MASSA TANDEM</t>
  </si>
  <si>
    <t>379190,00</t>
  </si>
  <si>
    <t>21066,13</t>
  </si>
  <si>
    <t>Abbott Rapid Diagnostisc srl</t>
  </si>
  <si>
    <t>4885,06</t>
  </si>
  <si>
    <t>4719,14</t>
  </si>
  <si>
    <t>ACQUISTO  PROTESI</t>
  </si>
  <si>
    <t>6765,78</t>
  </si>
  <si>
    <t>det. n. adesione Intercenter Guanti monouso non sterili e sterili 2023/25 - lotto 2</t>
  </si>
  <si>
    <t>98400,00</t>
  </si>
  <si>
    <t>det. n. Adesione Intercenter Guanti monouso non sterili e sterili 2023/25 - lotto 5</t>
  </si>
  <si>
    <t>44800,00</t>
  </si>
  <si>
    <t>RDO Intercent-ER PI151089-23 - Acquisto di nÂ°300 (trecento) CUFFIE CON MICROFONO per la predisposizione di postazioni di lavoro come da capitolato</t>
  </si>
  <si>
    <t>TEST POINT</t>
  </si>
  <si>
    <t>1770,00</t>
  </si>
  <si>
    <t>NADA 2008 SRL</t>
  </si>
  <si>
    <t>443,30</t>
  </si>
  <si>
    <t>DET.1546/2023 RECEPIMENTO FORNITURA DI SENSORI, MONOPAZIENTEE RIUTILIZZABILI, PER IL MONITORAGGIO NON INVASIVO DELLA SATURAZIONE ARTERIOSA DI OSSIGENO E FREQUENZA CARDIACA (SPO2) E RELATIVI ACCESSORI. LOTTO 6</t>
  </si>
  <si>
    <t>8824,80</t>
  </si>
  <si>
    <t>Acquisizione di integrazione ai servizi di manutenzione e assistenza tecnica anno 2023 su software Margherita Tre come da capitolato</t>
  </si>
  <si>
    <t>MEDIACLINICS ITALIA  S.R.L.</t>
  </si>
  <si>
    <t>21094,00</t>
  </si>
  <si>
    <t>4478,00</t>
  </si>
  <si>
    <t>ACQUISTO MATERIALE RILEGATURA PER CENTRO STAMPA/SERVIZI AZIENDALI</t>
  </si>
  <si>
    <t>CISCRA S.P.A.</t>
  </si>
  <si>
    <t>1242,40</t>
  </si>
  <si>
    <t>DETE-591/2023 INTERCENTER ADESIONE A CONVENZIONE PER ACQUISIZIONE SERVIZI TRASMISSIONE RETI FISSE LOTTO 1 - FISSA BASE E MIGRAZIONE RETE DATI BASE</t>
  </si>
  <si>
    <t>1248617,20</t>
  </si>
  <si>
    <t>3688,72</t>
  </si>
  <si>
    <t>PI084299-23 FORNITURA ATTREZZATURE UFFICIO</t>
  </si>
  <si>
    <t>CENTRO UFFICI SRL</t>
  </si>
  <si>
    <t>39237,00</t>
  </si>
  <si>
    <t>SISTERS</t>
  </si>
  <si>
    <t>Fornitura in noleggio di 12 mesi di sistemi di neurologia e relativi accessori per IRCCS Bellaria</t>
  </si>
  <si>
    <t>20040,00</t>
  </si>
  <si>
    <t>ACQUISTO SOTTOSOGLIA FARMACI/SOLUZIONI INFUSIONALI</t>
  </si>
  <si>
    <t>ACQUISTO CONSUMABILI PER POLISONNIGRAFO</t>
  </si>
  <si>
    <t>2230,00</t>
  </si>
  <si>
    <t>PRO.MED. SRL</t>
  </si>
  <si>
    <t>ACQUISTO CINGHIE DI FISSAGGIO PER SACCHE URINA</t>
  </si>
  <si>
    <t>4478,74</t>
  </si>
  <si>
    <t>PI183467-23 ACQUISTO DIAGNOSTICI PER SIEROLOGIA</t>
  </si>
  <si>
    <t>EUROIMMUN ITALIA S.R.L.</t>
  </si>
  <si>
    <t>ACQUISTO SCALDA OTTICA PER ENDOSCOPIO</t>
  </si>
  <si>
    <t>APPLIED MEDICAL DISTRIBUTION EUROPE BV - FILIALE ITALIANA</t>
  </si>
  <si>
    <t>472,32</t>
  </si>
  <si>
    <t>Det...../2023 AFFIDAMENTO DIRETTO DM PER TERAPIA ANTALGICA Medtronic</t>
  </si>
  <si>
    <t>30550,00</t>
  </si>
  <si>
    <t>1171,35</t>
  </si>
  <si>
    <t>6,00</t>
  </si>
  <si>
    <t>3288,74</t>
  </si>
  <si>
    <t>FORNITURA ARMADI METALLICI</t>
  </si>
  <si>
    <t>FIAMAT SRL</t>
  </si>
  <si>
    <t>12238,00</t>
  </si>
  <si>
    <t>ACQ. MASCHERE E BOLUS PER TRATTAMENTO STEREOTASSICO (IN RADIOTERAPIA)</t>
  </si>
  <si>
    <t>D.D.E. Dynamic Devices Europe</t>
  </si>
  <si>
    <t>FORNITURA ARREDI NEURORADIOLOGIA OM</t>
  </si>
  <si>
    <t>32912,00</t>
  </si>
  <si>
    <t>Fornitura di acquisto di n. 1 Fibrorinolaringoscopio per le esigenze degli Ambulatori dellâ€™Ospedale Bellaria, piÃ¹ n.2 in opzione</t>
  </si>
  <si>
    <t>17571,00</t>
  </si>
  <si>
    <t>2894,00</t>
  </si>
  <si>
    <t>2824,56</t>
  </si>
  <si>
    <t>1562,00</t>
  </si>
  <si>
    <t>5628,83</t>
  </si>
  <si>
    <t>dispositivi medici</t>
  </si>
  <si>
    <t>5905,00</t>
  </si>
  <si>
    <t>PAUL HARTMANN S.P.A.(CONTO DED.MOD.4)</t>
  </si>
  <si>
    <t>3336,28</t>
  </si>
  <si>
    <t>ACQUISTO POSIZIONATORI IN GEL PER USO OSPEDALIERO</t>
  </si>
  <si>
    <t>DASER SRL SOCIETAâ€™ UNIPERSONALE</t>
  </si>
  <si>
    <t>655,00</t>
  </si>
  <si>
    <t>ECUPHARMA S.R.L.</t>
  </si>
  <si>
    <t>1199,68</t>
  </si>
  <si>
    <t>Onorario per dichiarazione di successione - Notaio Rosalia Scuderi</t>
  </si>
  <si>
    <t>6365,00</t>
  </si>
  <si>
    <t>1158,63</t>
  </si>
  <si>
    <t>460,56</t>
  </si>
  <si>
    <t>ACQUISTO DISPOSITIVI PER MOVIMENTAZIONE PAZIENTI ED ACCESSORI</t>
  </si>
  <si>
    <t>1750,00</t>
  </si>
  <si>
    <t>SPINEKEY SRL</t>
  </si>
  <si>
    <t>ACQUISTO PIASTRE E ACCESSORI PER ELETTROBISTURI</t>
  </si>
  <si>
    <t>acquisto scaffalature</t>
  </si>
  <si>
    <t>FASMA Srl</t>
  </si>
  <si>
    <t>Acquisto di n 1 Monitor per bioimmagini per il Blocco Operatorio Ospedale di Porretta AUSl di Bologna</t>
  </si>
  <si>
    <t>3215,00</t>
  </si>
  <si>
    <t>5080,82</t>
  </si>
  <si>
    <t>ASSISTENZA TECNICA 2023 DITTA SAMSUNG</t>
  </si>
  <si>
    <t>SAMSUNG ELECTRONICS ITALIA S.P.A.</t>
  </si>
  <si>
    <t>6534,80</t>
  </si>
  <si>
    <t>3241,84</t>
  </si>
  <si>
    <t>ACQUISTO DISPOSITIVI  MEDICI</t>
  </si>
  <si>
    <t>5842,10</t>
  </si>
  <si>
    <t>DBO - FONDAZIONE DOPO DI NOIBOLOGNA ONLUS _ GAP "6 A CASA" - 2023</t>
  </si>
  <si>
    <t>Acquisizione nÂ°2 (due) barcode scanner Orbit MS7190 completo di cavo USB per LUM Spoke S.Orsola</t>
  </si>
  <si>
    <t>MONDIAL PHARMA S.A.</t>
  </si>
  <si>
    <t>5297,16</t>
  </si>
  <si>
    <t>2379,00</t>
  </si>
  <si>
    <t>ASSISTENZA TECNICA 2023 DITTA ROCHE</t>
  </si>
  <si>
    <t>Acquisto di n 2 Lampade scialitiche per Ambulatori chirurgici Maggiore</t>
  </si>
  <si>
    <t>20760,00</t>
  </si>
  <si>
    <t>acquisto di n 5 aspiratori piÃ¹ n.4 in opzione per AUSL</t>
  </si>
  <si>
    <t>3330,00</t>
  </si>
  <si>
    <t>MORETTI S.P.A.</t>
  </si>
  <si>
    <t>MEDIGAS</t>
  </si>
  <si>
    <t>Acquisto di n. 4 monitor multiparametrici piÃ¹ n. 3 in opzione per AUSL</t>
  </si>
  <si>
    <t>16909,00</t>
  </si>
  <si>
    <t>acquisto di n 3 monitor base piÃ¹ 5 in opzione per AUSL</t>
  </si>
  <si>
    <t>MEDICAL PARMA SRL</t>
  </si>
  <si>
    <t>Acquisto di n.3 PC medicali per Ambulatori Maggiore</t>
  </si>
  <si>
    <t>SANIMED SRL</t>
  </si>
  <si>
    <t>Sistemi Avanzati Elettronici</t>
  </si>
  <si>
    <t>Acquisizione nÂ°2 (due) stampante laser HP LaserJet M209dwe</t>
  </si>
  <si>
    <t>314,76</t>
  </si>
  <si>
    <t>5988,00</t>
  </si>
  <si>
    <t>2475,60</t>
  </si>
  <si>
    <t>AFM SERVIZI FARMACIA</t>
  </si>
  <si>
    <t>385107,00</t>
  </si>
  <si>
    <t>92601,50</t>
  </si>
  <si>
    <t>FABBRI INIZIATIVE CELADON SERVIZI FARMACIA</t>
  </si>
  <si>
    <t>INIZIATIVE FARMACIA CELADON SNC</t>
  </si>
  <si>
    <t>72540,00</t>
  </si>
  <si>
    <t>17124,70</t>
  </si>
  <si>
    <t>PIAN DEL VOGLIO SERVIZI FARMACIA</t>
  </si>
  <si>
    <t>FARMACIA PIAN DEL VOGLIO DEL DOTTOR PAOLO MANFREDI</t>
  </si>
  <si>
    <t>15083,00</t>
  </si>
  <si>
    <t>3760,20</t>
  </si>
  <si>
    <t>ACQUISTO ABBONAMENTO A "ONE LEGALE START" - ANNO 2023</t>
  </si>
  <si>
    <t>GRUPPO WOLTERS KLUWER</t>
  </si>
  <si>
    <t>LEGGIO MORABITO SERVIZI FARMACIA</t>
  </si>
  <si>
    <t>FARMACIA LEGGIO MORABITO</t>
  </si>
  <si>
    <t>21634,00</t>
  </si>
  <si>
    <t>4639,90</t>
  </si>
  <si>
    <t>ACQUISTO DI ACQUISTO CONTAINER ED ACCESSORI</t>
  </si>
  <si>
    <t>6182,15</t>
  </si>
  <si>
    <t>ACQUISTO COPERTE ANTIFIAMMA PER LE ESIGENZE DELL' AZIENDA USL DI BOLOGNA</t>
  </si>
  <si>
    <t>NOVA FIRE SRL</t>
  </si>
  <si>
    <t>ACQUISTO RESPIRATORI MECONIO, NEOBARM E ALTRI DISP. MEDICI</t>
  </si>
  <si>
    <t>3026,87</t>
  </si>
  <si>
    <t>RDO Intercent-ER- PI180997-23 - Servizio di assistenza tecnica, manutenzione, aggiornamenti, hosting e configurazione su licenze SW in essere come da capitolato</t>
  </si>
  <si>
    <t>888 SOFTWARE PRODUCTS SRL</t>
  </si>
  <si>
    <t>25308,00</t>
  </si>
  <si>
    <t>6327,00</t>
  </si>
  <si>
    <t>CONVENZIONE CONSIP AUTOMEZZI " 2"-ADESIONE LOTTO 6</t>
  </si>
  <si>
    <t>FCA FLEET &amp; TENDERS S.R.L. O BREVEMENTE FCA F&amp;T S.</t>
  </si>
  <si>
    <t>171068,00</t>
  </si>
  <si>
    <t>DETE.1202/2023 ESITO RDO ACQUISIZIONE SISTEMA SW GESTIONE PROGETTI PERSONALIZZATI DSM-DP</t>
  </si>
  <si>
    <t>TELEVITA S.P.A.</t>
  </si>
  <si>
    <t>13333,33</t>
  </si>
  <si>
    <t>2668,00</t>
  </si>
  <si>
    <t>WOLFYR ITALIA S.R.L</t>
  </si>
  <si>
    <t>5779,62</t>
  </si>
  <si>
    <t>SMC  MINORI CASI COMPLESSI DGR 1102/2014 ComunitÃ  "Casa di Dorothy" Utente Z.CM.- Paolo Babini Soc. Coop. Sociale Onlus. Periodo dal 01/01/2023 al 31/12/2023</t>
  </si>
  <si>
    <t>COOPERATIVA DI SOLIDARIETA SOCIALE  PAOLO  BABINI</t>
  </si>
  <si>
    <t>8668,55</t>
  </si>
  <si>
    <t>7037,37</t>
  </si>
  <si>
    <t>SMC MINORI CASI COMPLESSI DGR 1102/2014 ComunitÃ  "Towanda" Utente S.Z.- CSAPSA2. Periodo dal 01/01/2023 al 30/06/2023</t>
  </si>
  <si>
    <t>C.s.a.p.s.a</t>
  </si>
  <si>
    <t>12035,01</t>
  </si>
  <si>
    <t>10947,50</t>
  </si>
  <si>
    <t>ASSISTENZA TECNICA 2023 DITTA SIEMENS HEALTHCARE</t>
  </si>
  <si>
    <t>3924,46</t>
  </si>
  <si>
    <t>32221,60</t>
  </si>
  <si>
    <t>COM.LE BARICELLA SERVIZI FARMACIA</t>
  </si>
  <si>
    <t>COMUNE DI BARICELLA</t>
  </si>
  <si>
    <t>1205,00</t>
  </si>
  <si>
    <t>det 1171/23 contratto ponte farmaci esclusivi Lumykras</t>
  </si>
  <si>
    <t>7368,18</t>
  </si>
  <si>
    <t>det 1171/23 contratto ponte farmaci esclusivi Bridion</t>
  </si>
  <si>
    <t>156944,60</t>
  </si>
  <si>
    <t>det 1171/23 contratto ponte farmaci esclusivi Hepcludex</t>
  </si>
  <si>
    <t>70873,17</t>
  </si>
  <si>
    <t>6595,00</t>
  </si>
  <si>
    <t>ACQUISTO MATERIALE DI CONSUMO DEDICATO AL FUNZIONAMENTO DI SISTEMI MOTORIZZATI</t>
  </si>
  <si>
    <t>35641,79</t>
  </si>
  <si>
    <t>6478,14</t>
  </si>
  <si>
    <t>TEAM TEACH</t>
  </si>
  <si>
    <t>03-PROCEDURA NEGOZIATA PREVIA PUBBLICAZIONE</t>
  </si>
  <si>
    <t>TEAM TEACH LTD</t>
  </si>
  <si>
    <t>16810,00</t>
  </si>
  <si>
    <t>5515,19</t>
  </si>
  <si>
    <t>BIOGENETIS DIAGNOSTICS SRL</t>
  </si>
  <si>
    <t>375,00</t>
  </si>
  <si>
    <t>149,86</t>
  </si>
  <si>
    <t>AFFIDAMENTOA POSTE ITALIANE SRL DEL SERVIZIO STAMPA E NOTIFICA DI VERBALI DI ACCERTAMENTO DI ILLECITO AMMINISTRATIVO E ORDINANZAE INGIUNZIONE AL PAGAMENTO (SIN TERRITORIALE)</t>
  </si>
  <si>
    <t>5990,00</t>
  </si>
  <si>
    <t>ACQUISTO ELETTRODI PER MONITORAGGIO E STIMOLAZIONE</t>
  </si>
  <si>
    <t>4854,60</t>
  </si>
  <si>
    <t>Acquisizione nÂ°1 (una) licenza annuale SW IPA Analysis Match Explorer NUL come da capitolato</t>
  </si>
  <si>
    <t>12220,00</t>
  </si>
  <si>
    <t>12220,50</t>
  </si>
  <si>
    <t>PROROGA TECNICA NOLEGGIO MATERASSI ANTIDECUBITO 4 PER AUSLBO-DET. 931 DEL 3.4.2023</t>
  </si>
  <si>
    <t>142000,00</t>
  </si>
  <si>
    <t>159427,98</t>
  </si>
  <si>
    <t>SERVIZIO TRASPORTO SALME DA OSP. DI VERGATO A CAMERA MORTUARIA</t>
  </si>
  <si>
    <t>ONORANZE FUNEBRI CALEFFI CRISTIANO</t>
  </si>
  <si>
    <t>NUOVO S. ORSOLA S.R.L</t>
  </si>
  <si>
    <t>23,09</t>
  </si>
  <si>
    <t>Acquisto materiale vario di laboratorio Leica</t>
  </si>
  <si>
    <t>889,96</t>
  </si>
  <si>
    <t>ACQUISTO SPUGNE SAPONATE PER DETERSIONE PAZIENTI OSPEDALIERI</t>
  </si>
  <si>
    <t>DANFER</t>
  </si>
  <si>
    <t>30500,00</t>
  </si>
  <si>
    <t>1830,00</t>
  </si>
  <si>
    <t>DETE.1131/2023 PNRR adesione alla convenzione Consip "Pc Desktop e Workstation 2" lotto 2 acquisto pc desktop Thinkcentre e monitor</t>
  </si>
  <si>
    <t>895878,00</t>
  </si>
  <si>
    <t>99542,00</t>
  </si>
  <si>
    <t>Acquisto di 1 fonte luminosa per AttivitÃ  Amb Chirurgia dell'Ospedale di San Giovanni</t>
  </si>
  <si>
    <t>443,23</t>
  </si>
  <si>
    <t>ACQUISTO PREMISACCHE C/EC 1001300101</t>
  </si>
  <si>
    <t>2799,30</t>
  </si>
  <si>
    <t>5442,03</t>
  </si>
  <si>
    <t>21605,04</t>
  </si>
  <si>
    <t>17988,00</t>
  </si>
  <si>
    <t>ACQUISTO URGENTE DI AUTORESPIRATORI PER LE ESIGENZE DEL DIP. EMERGENZA PER ATTIVITA' ASSISTENZA SANITARIA SU RFI</t>
  </si>
  <si>
    <t>AV SERVICE DI ALOISIO VINCENZO</t>
  </si>
  <si>
    <t>7376,00</t>
  </si>
  <si>
    <t>iscrizione, volo e pernottamento congresso ASCO annual meeting Dr. Franceschi Enrico</t>
  </si>
  <si>
    <t>FRIKKANDO' VIAGGI SRL</t>
  </si>
  <si>
    <t>4975,84</t>
  </si>
  <si>
    <t>4977,84</t>
  </si>
  <si>
    <t>DET.1509/23-STRISCE REATTIVE E SISTEMI DIAGNOSTICI GLICEMIA ADESIONE INTERCENTER LOTTO 1</t>
  </si>
  <si>
    <t>373750,00</t>
  </si>
  <si>
    <t>DET.1509/23-STRISCE REATTIVE E SISTEMI DIAGNOSTICI GLICEMIA ADESIONE INTERCENTER LOTTO 2</t>
  </si>
  <si>
    <t>660000,00</t>
  </si>
  <si>
    <t>PA affidamento servizio di soccorso sanitario con elicottero per le base reg.li di Bologna, Parma, Ravenna e Pavullo nel Frignano. Det. n. 2746 del 07/11/2022</t>
  </si>
  <si>
    <t>93921584,41</t>
  </si>
  <si>
    <t>4567874,33</t>
  </si>
  <si>
    <t>20092,00</t>
  </si>
  <si>
    <t>24455,00</t>
  </si>
  <si>
    <t>DET.1634/23 RINNOVO ANNUALE materiale di consumo per STERILIZZATRICI â€œSTERIS</t>
  </si>
  <si>
    <t>3288,00</t>
  </si>
  <si>
    <t>det 1649/2023   adesione intercenter medicinali e radiofarmaci 2023 - 2025 - 2 lotto 48</t>
  </si>
  <si>
    <t>30136,28</t>
  </si>
  <si>
    <t>det 1649/2023   adesione intercenter medicinali e radiofarmaci 2023 - 2025 - 2 Lotto 42</t>
  </si>
  <si>
    <t>370,43</t>
  </si>
  <si>
    <t>det 1649/2023   adesione intercenter medicinali e radiofarmaci 2023 - 2025 - 2 lotti 60 82 167 177</t>
  </si>
  <si>
    <t>24584,58</t>
  </si>
  <si>
    <t>det 1649/2023   adesione intercenter medicinali e radiofarmaci 2023 - 2025 - 2 lotti 149 150</t>
  </si>
  <si>
    <t>139837,50</t>
  </si>
  <si>
    <t>det 1649/2023   adesione intercenter medicinali e radiofarmaci 2023 - 2025 - 2 lotti 78 79 80</t>
  </si>
  <si>
    <t>PIAM FARMACEUTICI S.P.A</t>
  </si>
  <si>
    <t>497,00</t>
  </si>
  <si>
    <t>Acquisto guanti cotone monouso non sterile</t>
  </si>
  <si>
    <t>422,10</t>
  </si>
  <si>
    <t>DET.1000/23 LOTTO 1 RECEPIMENTO DETERMINA N.119/2023 DELLâ€™AOUFE RELATIVA  ALLA PA PER LA FORNITURA DI TERRENI DI COLTURA</t>
  </si>
  <si>
    <t>Thermo Fisher Diagnostics S.p.A.</t>
  </si>
  <si>
    <t>3958,00</t>
  </si>
  <si>
    <t>HACHIKO MEDICAL srl</t>
  </si>
  <si>
    <t>5424,50</t>
  </si>
  <si>
    <t>ACQUISTO COPRILENTE E TERMOMETRI TIMPANICI ORIGINALI GENIUS</t>
  </si>
  <si>
    <t>29990,40</t>
  </si>
  <si>
    <t>8954,88</t>
  </si>
  <si>
    <t>19737,08</t>
  </si>
  <si>
    <t>DEL SOLE TRENTO TRIESTE SERVIZI FARMACIA</t>
  </si>
  <si>
    <t>FARMACIA TRENTO TRIESTE DI GIAN MATTEO PAULIN E C.</t>
  </si>
  <si>
    <t>71310,00</t>
  </si>
  <si>
    <t>16652,30</t>
  </si>
  <si>
    <t>ACQUISTO DISPOSITIVI ANTIDECUBITO PER POSIZIONE PRONA</t>
  </si>
  <si>
    <t>6197,40</t>
  </si>
  <si>
    <t>DEL MELONCELLO SERVIZI FARMACIA</t>
  </si>
  <si>
    <t>NUOVA FARMACIA DEL MELONCELLO SNC</t>
  </si>
  <si>
    <t>17215,00</t>
  </si>
  <si>
    <t>4338,50</t>
  </si>
  <si>
    <t>Acquisto di sistema valutazione funzionale mTest3 per le esigenze della Medicina Riabilitativa ISNB di Bologna</t>
  </si>
  <si>
    <t>MHEALTH TECHNOLOGIES S.R.L.</t>
  </si>
  <si>
    <t>Acquisto di 2 Datalogger per Ospedale Maggiore</t>
  </si>
  <si>
    <t>1066,00</t>
  </si>
  <si>
    <t>5997,40</t>
  </si>
  <si>
    <t>ASSISTENZA TECNICA 2023 DITTA STRYKER</t>
  </si>
  <si>
    <t>518,30</t>
  </si>
  <si>
    <t>Lavori in quota e addestramento all effettuazione manovre di recupero in emergenza</t>
  </si>
  <si>
    <t>GALILEO INGEGNERIA S.R.L.</t>
  </si>
  <si>
    <t>6760,00</t>
  </si>
  <si>
    <t>KIT COMPLETO FOTOCAMERA PROFESSIONALE</t>
  </si>
  <si>
    <t>Acquisto URGENTE licenze SW per esigenze della AUSL - Ordine MEPA 7324316 - Acquisizione licenza SW PriMus + POWER PACK e CerTus + POWER PACK per Dip. Tecnico Patrimoniale</t>
  </si>
  <si>
    <t>ACCA SOFTWARE S.P.A.</t>
  </si>
  <si>
    <t>1837,40</t>
  </si>
  <si>
    <t>DET. 1459/2023 RINNOVO FORNITURA DISPOSITIVI PER PAZIENTI</t>
  </si>
  <si>
    <t>DET. 1459/2023 RINNOVO FORNITURA TELINI ANTI X</t>
  </si>
  <si>
    <t>fornitura e montaggio arredi StroKe</t>
  </si>
  <si>
    <t>17852,25</t>
  </si>
  <si>
    <t>Acquisto protezione mediboxer pantal mon colon</t>
  </si>
  <si>
    <t>RDO Intercent-ER PI196402-23 - Acquisizione nÂ°1 (uno) Personal Computer ACER Predator Helios come da capitolato</t>
  </si>
  <si>
    <t>1587,00</t>
  </si>
  <si>
    <t>GE HEALTHCARE SRL</t>
  </si>
  <si>
    <t>550,00</t>
  </si>
  <si>
    <t>ASSISTENZA TECNICA 2023 DITTA ANGELANTONI LIFE SCIENCES</t>
  </si>
  <si>
    <t>Angelantoni Life Science</t>
  </si>
  <si>
    <t>3278,28</t>
  </si>
  <si>
    <t>Acquisizione nÂ°1 (una) batteria per PC portatile DELL Inspiron 5579 (2-in-1)</t>
  </si>
  <si>
    <t>508,00</t>
  </si>
  <si>
    <t>DET.1432/23 CONTRATTO PONTE PER LA FORNITURA DI MATERIALE DA MEDICAZIONE AVANZATA 2 IN CONCORRENZA</t>
  </si>
  <si>
    <t>36,00</t>
  </si>
  <si>
    <t>DEALFA S.R.L.</t>
  </si>
  <si>
    <t>9624,57</t>
  </si>
  <si>
    <t>5920,00</t>
  </si>
  <si>
    <t>RDO Intercent-ER PI157663-23 - Acquisizione materiale HW vario come da capitolato</t>
  </si>
  <si>
    <t>2119,00</t>
  </si>
  <si>
    <t>3905,00</t>
  </si>
  <si>
    <t>det 1649/2023   adesione intercenter medicinali e radiofarmaci 2023 - 2025 - 2 lotto 129</t>
  </si>
  <si>
    <t>TILLOMED ITALIA SRL</t>
  </si>
  <si>
    <t>2124,09</t>
  </si>
  <si>
    <t>det 1649/2023   adesione intercenter medicinali e radiofarmaci 2023 - 2025 - 2 lotto 210</t>
  </si>
  <si>
    <t>772,70</t>
  </si>
  <si>
    <t>det 862/23 Ulteriore adesione alla convenzione intercenter per la fornitura di medicinali RER 2020-2024 Nuvaring</t>
  </si>
  <si>
    <t>78950,04</t>
  </si>
  <si>
    <t>20049,12</t>
  </si>
  <si>
    <t>ACQUISTO PROTEZIONI OCULARI EYEPRO IVG-01</t>
  </si>
  <si>
    <t>5325,00</t>
  </si>
  <si>
    <t>RINNOVO SERVIZIO TELEMACO DAL 20/04/2023- N.132285  - MJ00CF adesione ai servizi di accesso dati registro imprese e protesti quota una tantum ANNO 2023 - DIPARTIMENTO FARMACEUTICO</t>
  </si>
  <si>
    <t>1110,00</t>
  </si>
  <si>
    <t>DET. 898/2023 PROROGA DELLA FORNITURA DI ELETTROCATETERI PER ELETTROFISIOLOGIA</t>
  </si>
  <si>
    <t>917,80</t>
  </si>
  <si>
    <t>12536,16</t>
  </si>
  <si>
    <t>DET.999/23 RINNOVO SERVICE SISTEMI DIAGNOSTICI VES AUSL BO AOUFE</t>
  </si>
  <si>
    <t>9013,42</t>
  </si>
  <si>
    <t>Servizio  di  assistenza  FR  per  lo  spettrometro  di  massa  cromatografo  prodotti  da  AB  Sciex  in dotazione allâ€™Azienda USL di Bologna</t>
  </si>
  <si>
    <t>26016,26</t>
  </si>
  <si>
    <t>4240,00</t>
  </si>
  <si>
    <t>ACQUISTO DISPOSTIVI MEDICI</t>
  </si>
  <si>
    <t>3312,00</t>
  </si>
  <si>
    <t>ASSISTENZA TECNICA 2023 DITTA BIOMED SERVICE</t>
  </si>
  <si>
    <t>BIOMED SERVICE S.N.C. DI RINALDI R.</t>
  </si>
  <si>
    <t>8608,00</t>
  </si>
  <si>
    <t>5073,26</t>
  </si>
  <si>
    <t>COOP.BOLOGNA SASSO MARCONI SAN GIORGIO SERVIZI FARMACIA</t>
  </si>
  <si>
    <t>67392,00</t>
  </si>
  <si>
    <t>14901,30</t>
  </si>
  <si>
    <t>ISTITUTO BIOCHIMICO ITALIANO GIOVANNI LORENZINI S.P.A.</t>
  </si>
  <si>
    <t>27690,00</t>
  </si>
  <si>
    <t>CONVENZIONE INTERCENT ECOTOMOGRAFI 2 LOTTO 6</t>
  </si>
  <si>
    <t>CONVENZIONE INTERCENT ECOTOMOGRAFI LOTTO 7</t>
  </si>
  <si>
    <t>Esaote</t>
  </si>
  <si>
    <t>64260,00</t>
  </si>
  <si>
    <t>5067,00</t>
  </si>
  <si>
    <t>ASSISTENZA TECNICA 2023 DITTA VYAIRE MEDICAL SRL</t>
  </si>
  <si>
    <t>625,50</t>
  </si>
  <si>
    <t>Acquisto minuteria informatica urgente</t>
  </si>
  <si>
    <t>581,00</t>
  </si>
  <si>
    <t>581,40</t>
  </si>
  <si>
    <t>Acquisto minuteria urgente per 118</t>
  </si>
  <si>
    <t>684,00</t>
  </si>
  <si>
    <t>5406,67</t>
  </si>
  <si>
    <t>696,00</t>
  </si>
  <si>
    <t>SGARBI ALBERINO SERVIZI FARMACIA</t>
  </si>
  <si>
    <t>FARMACIA ALBERINO DELLA SOC.TA FARM. SGARBI S.A.S</t>
  </si>
  <si>
    <t>57604,00</t>
  </si>
  <si>
    <t>11584,10</t>
  </si>
  <si>
    <t>COM.LE FOND.VALERIANI BUDRIO MARMORTA SERVIZI FARMACIA</t>
  </si>
  <si>
    <t>S.F.E.R.A. SRL</t>
  </si>
  <si>
    <t>42044,00</t>
  </si>
  <si>
    <t>7981,90</t>
  </si>
  <si>
    <t>DETE.843/2023 ACQUISIZIONE SERVIZI DI MANUTENZIONE E ASSISTENZA SOFTWARE DELTA INFORMATICA S.R.L.</t>
  </si>
  <si>
    <t>DELTA INFORMATICA</t>
  </si>
  <si>
    <t>2803126,84</t>
  </si>
  <si>
    <t>258402,72</t>
  </si>
  <si>
    <t>DUSE SERVIZI FARMACIA</t>
  </si>
  <si>
    <t>FARMACIA DUSE DI TARTARINI</t>
  </si>
  <si>
    <t>25551,00</t>
  </si>
  <si>
    <t>6114,80</t>
  </si>
  <si>
    <t>DEL PIANETA SERVIZI FARMACIA</t>
  </si>
  <si>
    <t>FARMACIA DEL PIANETA SNC</t>
  </si>
  <si>
    <t>16311,00</t>
  </si>
  <si>
    <t>3324,60</t>
  </si>
  <si>
    <t>DALLA TORRE SERVIZI FARMACIA</t>
  </si>
  <si>
    <t>FARMACIA DALLATORRE  DELLA DOTT.SSA DALLATORRE MIR</t>
  </si>
  <si>
    <t>12502,00</t>
  </si>
  <si>
    <t>2539,20</t>
  </si>
  <si>
    <t>DELL'OROLOGIO SERVIZI FARMACIA</t>
  </si>
  <si>
    <t>FARMACIA DELLOROLOGIO S.N.C.</t>
  </si>
  <si>
    <t>13682,00</t>
  </si>
  <si>
    <t>3334,80</t>
  </si>
  <si>
    <t>DUE MADONNE SERVIZI FARMACIA</t>
  </si>
  <si>
    <t>FARMACIA DUE MADONNE SNC DELLA DR.SSA CLAUDIA SAVI</t>
  </si>
  <si>
    <t>19705,00</t>
  </si>
  <si>
    <t>4056,30</t>
  </si>
  <si>
    <t>ACQUISTO URGENTE DI GUANTI DI PROTEZIONE PER LE ESIGENZE DEL DIP. EMERGENZE PER ASSISTENZA SANITARIA RFI</t>
  </si>
  <si>
    <t>SAFE S.R.L.</t>
  </si>
  <si>
    <t>1066,50</t>
  </si>
  <si>
    <t>339,10</t>
  </si>
  <si>
    <t>det 1499/2023 contratto ponte farmaco esclusivo Erleada</t>
  </si>
  <si>
    <t>308000,00</t>
  </si>
  <si>
    <t>ASSISTENZA TECNICA 2023 DITTA BIOTRON</t>
  </si>
  <si>
    <t>BIOTRON S.R.L.</t>
  </si>
  <si>
    <t>ASSISTENZA TECNICA 2023 DITTA ECHOES</t>
  </si>
  <si>
    <t>ECHOES SRL</t>
  </si>
  <si>
    <t>2860,54</t>
  </si>
  <si>
    <t>2603,97</t>
  </si>
  <si>
    <t>Acqu. sistemi di trasferimento pazienti, Imbracature ed articoli similari</t>
  </si>
  <si>
    <t>DEMARTA VIRGINIO S.N.C.</t>
  </si>
  <si>
    <t>1360,00</t>
  </si>
  <si>
    <t>CONVENZIONE CONSIP PER ECOTOMOGRAFI-LOTTO 6</t>
  </si>
  <si>
    <t>DET. 899/2023 - INTEGRAZIONE CONTRATTO NEURORADIOLOGIA AB MEDICA</t>
  </si>
  <si>
    <t>7500,00</t>
  </si>
  <si>
    <t>5266,50</t>
  </si>
  <si>
    <t>ASSISTENZA TECNICA 2023 DITTA MASIMO</t>
  </si>
  <si>
    <t>112,50</t>
  </si>
  <si>
    <t>2040,80</t>
  </si>
  <si>
    <t>PAVAGLIONE SERVIZI FARMACIA</t>
  </si>
  <si>
    <t>74,80</t>
  </si>
  <si>
    <t>DET.N. 1232 DEL 09/05/2023 ADESIONE ACCORDO QUADRO CONSIP DIALISI 4-DITTA BAXTER</t>
  </si>
  <si>
    <t>659924,99</t>
  </si>
  <si>
    <t>8286,00</t>
  </si>
  <si>
    <t>MIKAI S.p.A.</t>
  </si>
  <si>
    <t>26826,35</t>
  </si>
  <si>
    <t>4588,10</t>
  </si>
  <si>
    <t>Acquisto materiale MÃ¶lnlycke Health Care</t>
  </si>
  <si>
    <t>DET.1594/23-SUTURE CHIRURGICHE SINTETICHE Adesione IntercentER Lotto 1</t>
  </si>
  <si>
    <t>280000,00</t>
  </si>
  <si>
    <t>446,88</t>
  </si>
  <si>
    <t>DET.1252/2023 Fornitura n.4 tavoli operatori per AuslBO</t>
  </si>
  <si>
    <t>OPT SurgiSystems S.r.L.</t>
  </si>
  <si>
    <t>375853,89</t>
  </si>
  <si>
    <t>DET.1594/23-SUTURE CHIRURGICHE SINTETICHE Adesione IntercentER Lotto 2</t>
  </si>
  <si>
    <t>112400,00</t>
  </si>
  <si>
    <t>ACQUISTO SPAZZOLE DOPPIEE MONOUSO PER LA PULIZIA DEGLI ENDOSCOPI</t>
  </si>
  <si>
    <t>QUATTRO MEDICA S.r.l.</t>
  </si>
  <si>
    <t>DETE.1500/2023 CONSIP ADESIONE PER ACQUISTO SISTEMA SW DI GESTIONE VIDEO MANAGEMENT -VMS E SERVIZI CONNESSI</t>
  </si>
  <si>
    <t xml:space="preserve">FASTWEB S.P.A. </t>
  </si>
  <si>
    <t>65931,68</t>
  </si>
  <si>
    <t>ORGANIZZAZIONE DEL WORKSHOP NEW FRONTIERS IN GLIOMAS:FROM BENCH TO BEDSIDE DEL 22/06/23</t>
  </si>
  <si>
    <t>MCC di Maria Cristina Calzolari srl</t>
  </si>
  <si>
    <t>10259,50</t>
  </si>
  <si>
    <t>SERVICE DI SISTEMI E DISPOSITIVI MEDICI FINALIZZATI ALLâ€™ESECUZIONE DI ESAMI DI BIOPSIA MAMMARIA PERCUTANEA VUOTO ASSISTITA PER LE NECESSITAâ€™ DELLâ€™ AVEC (AUSLBO, AOU BO, AUSL IMOLA, AOU FE) â€“ LOTTO UNICO - PROROGA PERIODO 15.06.23-15.12.23</t>
  </si>
  <si>
    <t>151590,78</t>
  </si>
  <si>
    <t>ACQUISTO KIT PER BIOPSIA</t>
  </si>
  <si>
    <t>4944,00</t>
  </si>
  <si>
    <t>Acquisto materiale veterinario</t>
  </si>
  <si>
    <t>ANGELOFRANCESCHINI S.R.L.</t>
  </si>
  <si>
    <t>85,41</t>
  </si>
  <si>
    <t>ACQUISTO URGENTE PIASTRE PER DEFIBRILLATORI PHILIPS E PHYSIOCONTROL</t>
  </si>
  <si>
    <t>4958,00</t>
  </si>
  <si>
    <t>AMBIENTE IN CARENZA DI ARIA RESPIRABILE Con utilizzo di APVR</t>
  </si>
  <si>
    <t>5420,00</t>
  </si>
  <si>
    <t>Protezione strumenti robotici del sistema chirurgico Robotico DAVINCI (INTUITIVE USA)</t>
  </si>
  <si>
    <t>RAMEDICAL SRL</t>
  </si>
  <si>
    <t>Acquisto contenitori trasporto provette e simili</t>
  </si>
  <si>
    <t>FORNITURA CARRELLI DI SERVIZIO AFFIDAMENTO DIRETTO</t>
  </si>
  <si>
    <t>KARREL HEALTH SOLUTIONS SRL</t>
  </si>
  <si>
    <t>5854,15</t>
  </si>
  <si>
    <t>Acquisto di materiale per sterilizzazione e imballaggio</t>
  </si>
  <si>
    <t>506,88</t>
  </si>
  <si>
    <t>ASSISTENZA TECNICA 2023 DITTA PUMA SRL</t>
  </si>
  <si>
    <t>PUMA SRL</t>
  </si>
  <si>
    <t>820,00</t>
  </si>
  <si>
    <t>ACQUISTO CUFFIE EEG C/EC 1001300101 O.BELLARIA</t>
  </si>
  <si>
    <t>6181,80</t>
  </si>
  <si>
    <t>ASSISTENZA TECNICA 2023 DITTA PERKIN ELMER</t>
  </si>
  <si>
    <t>PERKIN ELMER ITALIA SPA</t>
  </si>
  <si>
    <t>det 1649/2023   adesione intercenter medicinali e radiofarmaci 2023 - 2025 - 2 lotti 54 153</t>
  </si>
  <si>
    <t>Acquisto di n.1 Stativo per tavolo operatorio Vanto per le Sale Operatorio dell'Ospedale Maggiore - AUSL di Bologna</t>
  </si>
  <si>
    <t>503,20</t>
  </si>
  <si>
    <t>5878,18</t>
  </si>
  <si>
    <t>ACQUISTO URGENTE DI DPI PROTEZIONE CAPO PER LE ESIGENZE DEL DIP. EMERGENZE PER ASSISTENZA SANITARIA RFI</t>
  </si>
  <si>
    <t>4671,30</t>
  </si>
  <si>
    <t>Meridian Bioscience Europe S.r.l.</t>
  </si>
  <si>
    <t>680,08</t>
  </si>
  <si>
    <t>ASSISTENZA TECNICA 2023 DITTA EUROCHIMICA</t>
  </si>
  <si>
    <t>EUROCHIMICA SRL</t>
  </si>
  <si>
    <t>MONITOR TV 75 LG</t>
  </si>
  <si>
    <t>996,72</t>
  </si>
  <si>
    <t>SEROM MEDICAL TECHNOLOGY S.R.L.</t>
  </si>
  <si>
    <t>DET. 1459/2023 RINNOVO FORNITURA OCCHIALI ANTI X</t>
  </si>
  <si>
    <t>2749,56</t>
  </si>
  <si>
    <t>Acquisto materiale odontoiatrico Simit/Maillefer e Cattani</t>
  </si>
  <si>
    <t>4336,60</t>
  </si>
  <si>
    <t>530,25</t>
  </si>
  <si>
    <t>5985,60</t>
  </si>
  <si>
    <t>ASSISTENZA TECNICA 2023 DITTA BIOOPTICA</t>
  </si>
  <si>
    <t>208,26</t>
  </si>
  <si>
    <t>Acquisto di n 1 Pulsossimetro per UO Terapia Intensiva Neonatale Ospedale Maggiore di Bologna</t>
  </si>
  <si>
    <t>Acquisizione materiale informatico per PO 781 (PROG. CELIACHIA FORMAZIONE OPERAT. SETTORE ALIMENTARE)</t>
  </si>
  <si>
    <t>2707,00</t>
  </si>
  <si>
    <t>5044,80</t>
  </si>
  <si>
    <t>1727,00</t>
  </si>
  <si>
    <t>5853,18</t>
  </si>
  <si>
    <t>5724,10</t>
  </si>
  <si>
    <t>det 1649/2023   adesione intercenter medicinali e radiofarmaci 2023 - 2025 - 2 lotto 159</t>
  </si>
  <si>
    <t>693,18</t>
  </si>
  <si>
    <t>det 1649/2023   adesione intercenter medicinali e radiofarmaci 2023 - 2025 - 2 lotti 178 179</t>
  </si>
  <si>
    <t>6340,21</t>
  </si>
  <si>
    <t>294,48</t>
  </si>
  <si>
    <t>det 1649/2023   adesione intercenter medicinali e radiofarmaci 2023 - 2025 - 2 lotto 157</t>
  </si>
  <si>
    <t>864,14</t>
  </si>
  <si>
    <t>5317,20</t>
  </si>
  <si>
    <t>2814,60</t>
  </si>
  <si>
    <t>DET.263/23 LOTTO 2 ADESIONE Materiale da medicazione classica 4 bis - tamponi, garze, ovatta e bende. periodo</t>
  </si>
  <si>
    <t>56394,00</t>
  </si>
  <si>
    <t>1989,02</t>
  </si>
  <si>
    <t>DET.263/23 LOTTO 8 ADESIONE Materiale da medicazione classica 4 bis - tamponi, garze, ovatta e bende</t>
  </si>
  <si>
    <t>6553,40</t>
  </si>
  <si>
    <t>DET.263/23 LOTTO 20 ADESIONE Materiale da medicazione classica 4 bis - tamponi, garze, ovatta e bende</t>
  </si>
  <si>
    <t>9390,00</t>
  </si>
  <si>
    <t>310,00</t>
  </si>
  <si>
    <t>DET.263/23 LOTTO 9 ADESIONE Materiale da medicazione classica 4 bis - tamponi, garze, ovatta e bende.</t>
  </si>
  <si>
    <t>16557,84</t>
  </si>
  <si>
    <t>988,20</t>
  </si>
  <si>
    <t>DET.263/23 LOTTO 17 ADESIONE Materiale da medicazione classica 4 bis - tamponi, garze, ovatta e bende.</t>
  </si>
  <si>
    <t>95400,00</t>
  </si>
  <si>
    <t>7155,00</t>
  </si>
  <si>
    <t>DET.263/23 LOTTO 10 ADESIONE Materiale da medicazione classica 4 bis - tamponi, garze, ovatta e bende</t>
  </si>
  <si>
    <t>SA.VE.PA. SRL</t>
  </si>
  <si>
    <t>1744,00</t>
  </si>
  <si>
    <t>570,00</t>
  </si>
  <si>
    <t>DET.263/23 LOTTO 11 ADESIONE Materiale da medicazione classica 4 bis - tamponi, garze, ovatta e bende</t>
  </si>
  <si>
    <t>376,00</t>
  </si>
  <si>
    <t>DET.263/23 LOTTO 16 ADESIONE Materiale da medicazione classica 4 bis - tamponi, garze, ovatta e bende</t>
  </si>
  <si>
    <t>78400,00</t>
  </si>
  <si>
    <t>1245,00</t>
  </si>
  <si>
    <t>4991,50</t>
  </si>
  <si>
    <t>DETE.843/2023 INTERCENTER SERVIZI DI MANUTENZIONE E ASSISTENZA TECNICA SW DITTA ARTEXE S.P.A. 2023-2025</t>
  </si>
  <si>
    <t>ARTEXE SPA</t>
  </si>
  <si>
    <t>255632,00</t>
  </si>
  <si>
    <t>21960,00</t>
  </si>
  <si>
    <t>ACQUISTO SGABELLI E PREDELLINI</t>
  </si>
  <si>
    <t>3264,96</t>
  </si>
  <si>
    <t>Acquisizione pacchetto di nÂ°4 (quattro) licenze GraphPad Prism 9.5.x - Licenza annuale Group - Primo anno sottoscrizione (p/n gra-pra-514)</t>
  </si>
  <si>
    <t>ADALTA SNC DI FAZZI E MARCANTONI</t>
  </si>
  <si>
    <t>764,00</t>
  </si>
  <si>
    <t>PERSONALE AOSP TEMPORANEAMENTE IN SERVIZIO PRESSO L'INTERPORTO</t>
  </si>
  <si>
    <t>CAMST SOC. COOP. A R.L.</t>
  </si>
  <si>
    <t>585,00</t>
  </si>
  <si>
    <t>583,99</t>
  </si>
  <si>
    <t>3916,00</t>
  </si>
  <si>
    <t>EFFEBI HOSPITAL S.R.L.</t>
  </si>
  <si>
    <t>det 1649/2023   adesione intercenter medicinali e radiofarmaci 2023 - 2025 - 2 lotto 8</t>
  </si>
  <si>
    <t>236165,66</t>
  </si>
  <si>
    <t>12595,50</t>
  </si>
  <si>
    <t>5880,27</t>
  </si>
  <si>
    <t>Acquisizione urgente (guasto non riparabile) di nÂ°1 (uno) PC per grafica con scheda video dedicata per Ufficio Comunicazione (Ivano Barresi)</t>
  </si>
  <si>
    <t>5991,90</t>
  </si>
  <si>
    <t>DET.867/23 PROROGA TECNICA SERVICE FALSI POSITIVI DIASORIN</t>
  </si>
  <si>
    <t>18784,18</t>
  </si>
  <si>
    <t>6246,10</t>
  </si>
  <si>
    <t>ACQUISTO DIAGNOSTICI RICERCA</t>
  </si>
  <si>
    <t>TEMA RICERCA S.R.L.</t>
  </si>
  <si>
    <t>28062,31</t>
  </si>
  <si>
    <t>ASSISTENZA TECNICA 2023 DITTA TEMA SINERGIE</t>
  </si>
  <si>
    <t>TEMA SINERGIE S.p.A.</t>
  </si>
  <si>
    <t>12190,00</t>
  </si>
  <si>
    <t>6259,20</t>
  </si>
  <si>
    <t>Acquisto in esclusiva di un generatore ad ultrasuoni per ortopedia ditta Orthofix</t>
  </si>
  <si>
    <t>39924,50</t>
  </si>
  <si>
    <t>6021,98</t>
  </si>
  <si>
    <t>DET.1546/2023 RECEPIMENTO FORNITURA DI SENSORI, MONOPAZIENTEE RIUTILIZZABILI, PER IL MONITORAGGIO NON INVASIVO DELLA SATURAZIONE ARTERIOSA DI OSSIGENO E FREQUENZA CARDIACA (SPO2) E RELATIVI ACCESSORI. LOTTO 5</t>
  </si>
  <si>
    <t>25218,40</t>
  </si>
  <si>
    <t>5420,74</t>
  </si>
  <si>
    <t>RDO Intercent-ER PI190348-23 - Assistenza applicativo di gestione dello stato di servizio dei farmacisti e servizio di backup giornaliero come da capitolato</t>
  </si>
  <si>
    <t>RV INFORMATICA SNC</t>
  </si>
  <si>
    <t>3993,22</t>
  </si>
  <si>
    <t>5510,26</t>
  </si>
  <si>
    <t>CANONI 1 TRIMESTRE  2023 NON COMPRESI NELLA PROROGA DI CONVENZIONE IN QUANTO NON ESISTENTI NEL 2022</t>
  </si>
  <si>
    <t>SOFTECH SRL</t>
  </si>
  <si>
    <t>1613,00</t>
  </si>
  <si>
    <t>1612,50</t>
  </si>
  <si>
    <t>GUERBET SOCIETE ANONYME</t>
  </si>
  <si>
    <t>STOCCAGGIO DPI</t>
  </si>
  <si>
    <t>39624,00</t>
  </si>
  <si>
    <t>794,88</t>
  </si>
  <si>
    <t>DET.1082/2023 RINNOVO SECONDO ANNO SERVIZI MANUTENZIONE PARTI INTERNE AMBULANZE</t>
  </si>
  <si>
    <t>Vision Ambulanze S.r.l.</t>
  </si>
  <si>
    <t>100000,00</t>
  </si>
  <si>
    <t>5175,02</t>
  </si>
  <si>
    <t>ASSISTENZA TECNICA 2023 DITTA TECNOPOUND</t>
  </si>
  <si>
    <t>338,00</t>
  </si>
  <si>
    <t>6806,51</t>
  </si>
  <si>
    <t>Acquisto di un dopppler transcranico con caschetto robotizzato per le esigenze dellâ€™ISNB di Bologna</t>
  </si>
  <si>
    <t>GEA SOLUZIONI SRL</t>
  </si>
  <si>
    <t>38170,00</t>
  </si>
  <si>
    <t>Fornitura in Esclusiva integrazione Sistemi B.O. Bentivoglio - Digistat ditta Draeger</t>
  </si>
  <si>
    <t>DRAEGER SAFETY ITALIA SPA</t>
  </si>
  <si>
    <t>38420,00</t>
  </si>
  <si>
    <t>SERVIZIO DI ORGANIZZAZIONE EVENTO FORMATIVO SU DEMENZE-FONDO ALZHEIMER -PO 847</t>
  </si>
  <si>
    <t>Fondazione ASPHI Onlus</t>
  </si>
  <si>
    <t>5942,00</t>
  </si>
  <si>
    <t>3599,19</t>
  </si>
  <si>
    <t>det 1649/2023   adesione intercenter medicinali e radiofarmaci 2023 - 2025 - 2 lotto</t>
  </si>
  <si>
    <t>CORZA MEDICAL S.R.L.</t>
  </si>
  <si>
    <t>42797,18</t>
  </si>
  <si>
    <t>adesione intercenter medicinali e radiofarmaci 2023 - 2025 - 2 lotto 209</t>
  </si>
  <si>
    <t>734634,00</t>
  </si>
  <si>
    <t>DETE. 639/2023 Contabilizzazione della spesa Soc. Lepida S.c.p.a. anni 2023-2024 servizi informatici</t>
  </si>
  <si>
    <t>24-AFFIDAMENTO DIRETTO A SOCIETA' IN HOUSE</t>
  </si>
  <si>
    <t>LEPIDA S.P.A.</t>
  </si>
  <si>
    <t>336942,82</t>
  </si>
  <si>
    <t>Fornitura Istoteche componibili - RDP PI086154-23</t>
  </si>
  <si>
    <t>28680,00</t>
  </si>
  <si>
    <t>1875,00</t>
  </si>
  <si>
    <t>DET.1075/23 RECEPIMENTO PROROGA DEL CONTRATTO DI FORNITURA DM PER UROLOGIA, URODINAMICA, ANDROLOGIA E SISTEMI PER INCONTINENZA URINARIA</t>
  </si>
  <si>
    <t>GP DERMAL SOLUTION S.R.L.</t>
  </si>
  <si>
    <t>2640,00</t>
  </si>
  <si>
    <t>19780,00</t>
  </si>
  <si>
    <t>3956,00</t>
  </si>
  <si>
    <t>DET.1112/23 ADESIONE AL RINNOVO CONVENZIONE INTERCENTER "TAMPONI RAPIDI E MOLECOLARI" LOTTO 1</t>
  </si>
  <si>
    <t>24900,00</t>
  </si>
  <si>
    <t>DET.1112/23 ADESIONE AL RINNOVO CONVENZIONE INTERCENTER "TAMPONI RAPIDI E MOLECOLARI" LOTTO 3</t>
  </si>
  <si>
    <t>PRO.LAB. S.R.L.</t>
  </si>
  <si>
    <t>86400,00</t>
  </si>
  <si>
    <t>5040,00</t>
  </si>
  <si>
    <t>6878,25</t>
  </si>
  <si>
    <t>ACQUISTO LACCIO EMOSTATICO TUBOLARE IN LATTICE</t>
  </si>
  <si>
    <t>694,80</t>
  </si>
  <si>
    <t>SANTA MARIA DELLE GRAZIE SERVIZI FARMACIA</t>
  </si>
  <si>
    <t>FARMACIA S.M. DELLE GRAZIE</t>
  </si>
  <si>
    <t>50157,00</t>
  </si>
  <si>
    <t>10805,80</t>
  </si>
  <si>
    <t>DET 1507 DEL 9.6.2023-FORNITURA ELETTRODI INTRACRANICI PER AUSLBO</t>
  </si>
  <si>
    <t>147500,00</t>
  </si>
  <si>
    <t>30496,90</t>
  </si>
  <si>
    <t>2340,00</t>
  </si>
  <si>
    <t>STEVE JONES SRL</t>
  </si>
  <si>
    <t>667,00</t>
  </si>
  <si>
    <t>ACQUISTO ACCESSORI DEDICATI X POLISONNIGRAFO X NEUROLOGIA O.B.</t>
  </si>
  <si>
    <t>4150,80</t>
  </si>
  <si>
    <t>DET. 1650/2023 FORNITURA DI PIASTRE MONOUSO PER DEFIBRILLATORI. INTEGRAZIONE FORNITURA LOTTI 1 E 2.</t>
  </si>
  <si>
    <t>39041,00</t>
  </si>
  <si>
    <t>det 1649/2023   adesione intercenter medicinali e radiofarmaci 2023 - 2025 - 2 lotto 99</t>
  </si>
  <si>
    <t>876108,40</t>
  </si>
  <si>
    <t>19293,84</t>
  </si>
  <si>
    <t>Acquisto di n 1 Pompa a siringa per UO Terapia Intensiva Neonatale Ospedale Maggiore di Bologna</t>
  </si>
  <si>
    <t>946,00</t>
  </si>
  <si>
    <t>DETE.296/2023 INTERCENTER ADESIONE A CONVENZIONE SERVIZI DI MANUTENZIONE E ASSISTENZA SW</t>
  </si>
  <si>
    <t>100500,00</t>
  </si>
  <si>
    <t>16750,00</t>
  </si>
  <si>
    <t>DET. 1057/2023 PRESIDI SOTTOVUOTO - LOTTO 1</t>
  </si>
  <si>
    <t>595948,72</t>
  </si>
  <si>
    <t>130276,24</t>
  </si>
  <si>
    <t>DET. 1057/2023 PRESIDI SOTTOVUOTO - LOTTO 2</t>
  </si>
  <si>
    <t>141709,60</t>
  </si>
  <si>
    <t>58107,66</t>
  </si>
  <si>
    <t>ACQUISTO DIVARICATORI PER ANCA CON TIRANTI</t>
  </si>
  <si>
    <t>2475,00</t>
  </si>
  <si>
    <t>ACQUISTO BILANCE DIGITALI PEDANA EXTRA LARGE</t>
  </si>
  <si>
    <t>373,77</t>
  </si>
  <si>
    <t>SPEDIZIONE MATERIALE BIOLOGICO</t>
  </si>
  <si>
    <t>1751,00</t>
  </si>
  <si>
    <t>DCP - MEDTRONIC ITALIA S.p.A. - MICROINFUSORI - APRILE-DICEMBRE 2023</t>
  </si>
  <si>
    <t>6071,90</t>
  </si>
  <si>
    <t>ACQUISTO ELETTRODI SHARK</t>
  </si>
  <si>
    <t>2996,19</t>
  </si>
  <si>
    <t>ACQUISTO TEST PSICODIAGNOSTICI HOGREFE EDITORE</t>
  </si>
  <si>
    <t>HOGREFE EDITORE SRL</t>
  </si>
  <si>
    <t>DET. 899/2023 - INTEGRAZIONE CONTRATTO NEURORADIOLOGIA PHENOX</t>
  </si>
  <si>
    <t>18750,00</t>
  </si>
  <si>
    <t>DET. 899/2023 - INTEGRAZIONE CONTRATTO NEURORADIOLOGIA JOHNSON &amp; JOHNSON</t>
  </si>
  <si>
    <t>24375,00</t>
  </si>
  <si>
    <t>21730,00</t>
  </si>
  <si>
    <t>DET. 899/2023 - INTEGRAZIONE CONTRATTO NEURORADIOLOGIA BALT</t>
  </si>
  <si>
    <t>26250,00</t>
  </si>
  <si>
    <t>26526,24</t>
  </si>
  <si>
    <t>DET. 899/2023 - INTEGRAZIONE CONTRATTO NEURORADIOLOGIA STRYKER</t>
  </si>
  <si>
    <t>112500,00</t>
  </si>
  <si>
    <t>30853,00</t>
  </si>
  <si>
    <t>DET. 899/2023 - INTEGRAZIONE CONTRATTO NEURORADIOLOGIA CROSSMED</t>
  </si>
  <si>
    <t>36098,00</t>
  </si>
  <si>
    <t>DET.589/2023 Ulteriore proroga service  chirurgia della cataratta Auslbo Lotto 1</t>
  </si>
  <si>
    <t>152118,75</t>
  </si>
  <si>
    <t>109150,92</t>
  </si>
  <si>
    <t>DET.589/2023 Ulteriore proroga service chirurgia vitreo-retinica AuslBo Lotto 2</t>
  </si>
  <si>
    <t>122361,42</t>
  </si>
  <si>
    <t>17529,12</t>
  </si>
  <si>
    <t>ACQUISTO N. 15 COPIE VOLUME CCNL COMPARTO SANITA' 02.11.2022</t>
  </si>
  <si>
    <t>487,90</t>
  </si>
  <si>
    <t>6670,84</t>
  </si>
  <si>
    <t>CROCI SERVIZI FARMACIA</t>
  </si>
  <si>
    <t>FARMACIA CROCI SNC</t>
  </si>
  <si>
    <t>34128,00</t>
  </si>
  <si>
    <t>DET. 1232 DEL 09/05/2023 ADESIONE ACCORDO QUADRO CONSIP DIALISI 4 -DITTA MEDTRONIC</t>
  </si>
  <si>
    <t>418674,49</t>
  </si>
  <si>
    <t>2396,10</t>
  </si>
  <si>
    <t>MILTENYI BIOTEC SRL</t>
  </si>
  <si>
    <t>1126,00</t>
  </si>
  <si>
    <t>ACQUISTO MATERIALE PER LA SALA OPERATORIA C/EC 1001300101</t>
  </si>
  <si>
    <t>4799,28</t>
  </si>
  <si>
    <t>FORNITURA CONDIZIONATORE MONOBLOCCO PORTATILE</t>
  </si>
  <si>
    <t>DETE.846/2023 INTERCENTER ADESIONE PER ACQUISIZIONE SERVIZI DI MANUTENZIONE E ASSISTENZA SW</t>
  </si>
  <si>
    <t>975888,75</t>
  </si>
  <si>
    <t>83426,28</t>
  </si>
  <si>
    <t>2508,24</t>
  </si>
  <si>
    <t>DETE. 715/2023 INTERCENTER ACQUISIZIONE SERVIZI DI MANUTENZIONE E ASSISTENZA SW</t>
  </si>
  <si>
    <t>ELCO SRL</t>
  </si>
  <si>
    <t>741791,64</t>
  </si>
  <si>
    <t>47029,77</t>
  </si>
  <si>
    <t>RDO Intercent-ER PI125268-23 - Acquisizione in noleggio (locazione operativa) di radio TETRA per le esigenze della Centrale Operativa Unica (COU) come da capitolato</t>
  </si>
  <si>
    <t>EuroCom telecomunicazioni di Migani C. &amp; C. S.n.c.</t>
  </si>
  <si>
    <t>27703,49</t>
  </si>
  <si>
    <t>TECNOPOLICE S.R.L.</t>
  </si>
  <si>
    <t>BPG RADIOCOMUNICAZIONI S.R.L.</t>
  </si>
  <si>
    <t>Acquisto carta assorbente per sterilizzazione</t>
  </si>
  <si>
    <t>ECS SRL</t>
  </si>
  <si>
    <t>DIS- CRA SACRA FAMIGLIA 2023</t>
  </si>
  <si>
    <t>CASA GENERALIZIA PIO IST.PICCOLESUORE DELLA SACRA FAMIGLIA</t>
  </si>
  <si>
    <t>962,00</t>
  </si>
  <si>
    <t>2475,20</t>
  </si>
  <si>
    <t>det 1649/2023   adesione intercenter medicinali e radiofarmaci 2023 - 2025 - 2 lotto 15</t>
  </si>
  <si>
    <t>59,40</t>
  </si>
  <si>
    <t>1516,77</t>
  </si>
  <si>
    <t>det 1649/2023   adesione intercenter medicinali e radiofarmaci 2023 - 2025 - 2 lotti 182 184 185</t>
  </si>
  <si>
    <t>33582,12</t>
  </si>
  <si>
    <t>det 1649/2023   adesione intercenter medicinali e radiofarmaci 2023 - 2025 - 2 lotto 165</t>
  </si>
  <si>
    <t>det 1649/2023   adesione intercenter medicinali e radiofarmaci 2023 - 2025 - 2 lotto 197</t>
  </si>
  <si>
    <t>23,76</t>
  </si>
  <si>
    <t>ACQUISTO MATERIALE DI CONSUMO DEDICATO PER ATTREZZATURE ZAN LION-SPIRE</t>
  </si>
  <si>
    <t>1014,00</t>
  </si>
  <si>
    <t>6758,40</t>
  </si>
  <si>
    <t>SMC MINORI CASI COMPLESSI DGR 1102/2014 ComunitÃ  "Marconi" Utente S.Y.- CSAPSA2. Periodo dal 01/01/2023 al 31/12/2023</t>
  </si>
  <si>
    <t>26465,00</t>
  </si>
  <si>
    <t>4880,64</t>
  </si>
  <si>
    <t>MATERIALE DI CONSUMO DEDICATO FUNZIONAMENTO SISTEMI MOTORIZZATI ORTOPEDIA + incremento 20% per emissione ordine urgente per sala operatoria OM</t>
  </si>
  <si>
    <t>157,95</t>
  </si>
  <si>
    <t>DET.1038/23-LANCETTE PUNGIDITO E SISTEMI GLICEMIA OSPEDALIERO E TERRITORIALE CONV. INTERCENTER - LOTTO 8</t>
  </si>
  <si>
    <t>DT. 1155/2023 - Protesi odontoiatriche mobili, fisse e materiale implantologico - proroga tecnica gara in corso</t>
  </si>
  <si>
    <t>110804,06</t>
  </si>
  <si>
    <t>Acquisizione nÂ°2 (due) Personal Computer DELL 5400 AIO Touch-screen per Anatomia Patologica OB come da capitolato</t>
  </si>
  <si>
    <t>1974,00</t>
  </si>
  <si>
    <t>DETE.1131/2023 adesione alla convenzione "Pc Desktop e Workstation 2" lotto 4 per acquisto di Pc Thinkstation e monitor</t>
  </si>
  <si>
    <t>CITROEN ITALIA SPA</t>
  </si>
  <si>
    <t>55248,20</t>
  </si>
  <si>
    <t>ASSISTENZA ANALIZZATORI DI SEQUENZE NUCLEOTIDICHE PRODOTTI DA ILLUMINA-DET. 1201 DEL 4.5.2023</t>
  </si>
  <si>
    <t>360681,00</t>
  </si>
  <si>
    <t>FORESTI SERVIZI FARMACIA</t>
  </si>
  <si>
    <t>FARMACIA FORESTI</t>
  </si>
  <si>
    <t>27367,00</t>
  </si>
  <si>
    <t>GWIAZDA SERVIZI FARMACIA</t>
  </si>
  <si>
    <t>GWIAZDA</t>
  </si>
  <si>
    <t>18047,00</t>
  </si>
  <si>
    <t>3888,40</t>
  </si>
  <si>
    <t>Ordine MEPA 7285732 Acquisizione pacchetto cuffie Alcatel (cod. 3MK08007AA &amp; 3MK08011AA)</t>
  </si>
  <si>
    <t>ALASCOM srl</t>
  </si>
  <si>
    <t>955,00</t>
  </si>
  <si>
    <t>Acquisto di apparecchi per fototerapia per UTIN</t>
  </si>
  <si>
    <t>INGRANDE DOMENICO SRL</t>
  </si>
  <si>
    <t>GINEVRI S.R.L.</t>
  </si>
  <si>
    <t>BURKE &amp; BURKE S.p.A.</t>
  </si>
  <si>
    <t>14250,00</t>
  </si>
  <si>
    <t>DETE.3158/2022 Consip  Esito appalto specifico Accordo quadro per affidamento servizi e prodotti software per digitalizzazione strutture ospedaliere</t>
  </si>
  <si>
    <t>3322600,00</t>
  </si>
  <si>
    <t>Acquisizione pacchetto di 10.000 SMS</t>
  </si>
  <si>
    <t>430,00</t>
  </si>
  <si>
    <t>DET.1000/23 LOTTO 6 RECEPIMENTO DETERMINA N.119/2023 DELLâ€™AOUFE RELATIVA  ALLA PA PER LA FORNITURA DI TERRENI DI COLTURA</t>
  </si>
  <si>
    <t>51600,00</t>
  </si>
  <si>
    <t>DET.1000/23 LOTTO 7 RECEPIMENTO DETERMINA N.119/2023 DELLâ€™AOUFE RELATIVA  ALLA PA PER LA FORNITURA DI TERRENI DI COLTURA</t>
  </si>
  <si>
    <t>1656,00</t>
  </si>
  <si>
    <t>DET.1000/23 LOTTO 8 RECEPIMENTO DETERMINA N.119/2023 DELLâ€™AOUFE RELATIVA  ALLA PA PER LA FORNITURA DI TERRENI DI COLTURA</t>
  </si>
  <si>
    <t>21440,00</t>
  </si>
  <si>
    <t>214,40</t>
  </si>
  <si>
    <t>DET. 1099/23 PROROGA 180 GG DM E PROCEDURE INTERVENTISTICHE DI NEURORADIOLOGIA</t>
  </si>
  <si>
    <t>10814,30</t>
  </si>
  <si>
    <t>6790,00</t>
  </si>
  <si>
    <t>ASSISTENZA TECNICA 2023 DITTA ERBE</t>
  </si>
  <si>
    <t>195,00</t>
  </si>
  <si>
    <t>581,88</t>
  </si>
  <si>
    <t>Acquisto di n 3 Lettini chirurgici oftalmologici per le esigenze del Blocco operatorio Ospedale Maggiore</t>
  </si>
  <si>
    <t>32880,00</t>
  </si>
  <si>
    <t>ACQUISTO MATERIALE DI CONSUMO - ELETTRODI OCULARI PER CLINICA NEUROLOGICA O. BELLARIA</t>
  </si>
  <si>
    <t>4518,00</t>
  </si>
  <si>
    <t>ASSISTENZA TECNICA 2023 DITTA ENOGAS</t>
  </si>
  <si>
    <t>ENOGAS SRL</t>
  </si>
  <si>
    <t>2348,00</t>
  </si>
  <si>
    <t>DETE.591/2022 Intercenter adesione a convenzione per acquisizione servizi trasmissione dati e voce su reti mobili -linee e terminali, Infotim, habble</t>
  </si>
  <si>
    <t>442365,76</t>
  </si>
  <si>
    <t>66265,58</t>
  </si>
  <si>
    <t>DRAGHETTI SERVIZI FARMACIA</t>
  </si>
  <si>
    <t>FARMACIA DRAGHETTI SNC</t>
  </si>
  <si>
    <t>23479,00</t>
  </si>
  <si>
    <t>5331,20</t>
  </si>
  <si>
    <t>ASS.BOLOGNESI SAVENA QUARTO INFERIORE</t>
  </si>
  <si>
    <t>FARMACIE ASS. BOLOGNESI S.A.S DEL SAVENA</t>
  </si>
  <si>
    <t>33648,00</t>
  </si>
  <si>
    <t>BELLESSERE SERVIZI FARMACIA</t>
  </si>
  <si>
    <t>FARMACIA BELLESSERE DEI DOTTORI STEFANO ED ORIETTA</t>
  </si>
  <si>
    <t>10842,00</t>
  </si>
  <si>
    <t>2542,20</t>
  </si>
  <si>
    <t>5227,47</t>
  </si>
  <si>
    <t>LEGNANI SERVIZI FARMACIA</t>
  </si>
  <si>
    <t>FARMACIA  LEGNANI</t>
  </si>
  <si>
    <t>42065,00</t>
  </si>
  <si>
    <t>SANT'AGATA SERVIZI FARMACIA</t>
  </si>
  <si>
    <t>FARMACIA SANTAGATA  S.N.C.</t>
  </si>
  <si>
    <t>50253,00</t>
  </si>
  <si>
    <t>10303,80</t>
  </si>
  <si>
    <t>MARCHI SERVIZI FARMACIA</t>
  </si>
  <si>
    <t>FARMACIA MARCHI</t>
  </si>
  <si>
    <t>36979,00</t>
  </si>
  <si>
    <t>7509,50</t>
  </si>
  <si>
    <t>GUIDETTI SERVIZI FARMACIA</t>
  </si>
  <si>
    <t>FARMACIA GUIDETTI DI GUIDETTI DR. ENRICO</t>
  </si>
  <si>
    <t>4346,40</t>
  </si>
  <si>
    <t>5987,96</t>
  </si>
  <si>
    <t>4350,00</t>
  </si>
  <si>
    <t>SERVIZI AGENZIA ANSA</t>
  </si>
  <si>
    <t>ANSA AGENZIA</t>
  </si>
  <si>
    <t>16828,00</t>
  </si>
  <si>
    <t>4070,80</t>
  </si>
  <si>
    <t>39060,00</t>
  </si>
  <si>
    <t>DETE n.1572DEL 16/06/2023 fORNITURA DI ARREDI PER AUSL BO - PNRR MISSIONE 5 -</t>
  </si>
  <si>
    <t>QUADRIFOGLIO SISTEMI D'ARREDO SpA</t>
  </si>
  <si>
    <t>10858,40</t>
  </si>
  <si>
    <t>2898,72</t>
  </si>
  <si>
    <t>ACQUISTO IMBRAGATURE PER SOLLEVATORI GULDMANN</t>
  </si>
  <si>
    <t>ACQUISTO ELETTRODI PER ELETTROBISTURI</t>
  </si>
  <si>
    <t>1088,40</t>
  </si>
  <si>
    <t>DIEMME DISPOSITIVI MEDICI SRL</t>
  </si>
  <si>
    <t>Acq. Elettrodi per Monitoraggio e stimolazione</t>
  </si>
  <si>
    <t>TECNOHEALTH SRL</t>
  </si>
  <si>
    <t>ACQUISTO DISPOSITIVI PER IMMOBILIZZAZIONE</t>
  </si>
  <si>
    <t>864,68</t>
  </si>
  <si>
    <t>det 987/23 contratto ponte farmaco esclusivo Bylvay</t>
  </si>
  <si>
    <t>ALBIREO AB</t>
  </si>
  <si>
    <t>27882,60</t>
  </si>
  <si>
    <t>DETE.515/2023 ESITO ACQUISTO DIRETTO SERVIZI MANUTENZIONE E ASSISTENZA SE CARTELLA CLINICA ELETTRONICA MARGHERITA TRE</t>
  </si>
  <si>
    <t>381600,00</t>
  </si>
  <si>
    <t>23066,68</t>
  </si>
  <si>
    <t>SAN LORENZO SERVIZI FARMACIA</t>
  </si>
  <si>
    <t>FARMACIA S.LORENZO ZOCCA PAOLO</t>
  </si>
  <si>
    <t>36156,00</t>
  </si>
  <si>
    <t>7936,20</t>
  </si>
  <si>
    <t>SANTA VIOLA SERVIZI FARMACIA</t>
  </si>
  <si>
    <t>FARMACIA SANTA VIOLA</t>
  </si>
  <si>
    <t>35113,00</t>
  </si>
  <si>
    <t>8648,60</t>
  </si>
  <si>
    <t>PONTEVECCHIO SERVIZI FARMACIE</t>
  </si>
  <si>
    <t>FARMACIA PONTEVECCHIO  S.N.C.</t>
  </si>
  <si>
    <t>37495,00</t>
  </si>
  <si>
    <t>8079,00</t>
  </si>
  <si>
    <t>SAN SILVERIO DELLA CHIESA NUOVA SERVIZI FARMACIA</t>
  </si>
  <si>
    <t>FARMACIA S.SILVERIO CHIESANUOVA</t>
  </si>
  <si>
    <t>18475,00</t>
  </si>
  <si>
    <t>3919,60</t>
  </si>
  <si>
    <t>Acquisizione nÂ°1 (una) licenza SW MEDCALC (single-user licenses, annual subscription - 12 months)</t>
  </si>
  <si>
    <t>167,00</t>
  </si>
  <si>
    <t>42919,62</t>
  </si>
  <si>
    <t>DPE - FONDAZ. DOPO DI NOI - GAP 6 A CASA - APRILE-DICEMBRE 2023</t>
  </si>
  <si>
    <t>2256,00</t>
  </si>
  <si>
    <t>ACQUISTO LACCI EMOSTATICI LATEX FREE</t>
  </si>
  <si>
    <t>ASSISTENZA TECNICA 2023 DITTA MCS</t>
  </si>
  <si>
    <t>M.C.S. MEDICAL CARE SYSTEMS SRL</t>
  </si>
  <si>
    <t>1855,69</t>
  </si>
  <si>
    <t>Interventi assistiti con Animali presso ATSM Carcere BO</t>
  </si>
  <si>
    <t>C'ERA UNA VOLTA IL CANE ASSOCIAZIONE SPORTIVA</t>
  </si>
  <si>
    <t>7050,00</t>
  </si>
  <si>
    <t>5716,80</t>
  </si>
  <si>
    <t>DET.1509/23-STRISCE REATTIVE E SISTEMI DIAGNOSTICI GLICEMIA ADESIONE INTERCENTER LOTTO 3</t>
  </si>
  <si>
    <t>1770000,00</t>
  </si>
  <si>
    <t>DET.1509/23-STRISCE REATTIVE E SISTEMI DIAGNOSTICI GLICEMIA ADESIONE INTERCENTER LOTTO 4</t>
  </si>
  <si>
    <t>694620,00</t>
  </si>
  <si>
    <t>78111,50</t>
  </si>
  <si>
    <t>DET.1509/23-STRISCE REATTIVE E SISTEMI DIAGNOSTICI GLICEMIA ADESIONE INTERCENTER LOTTO 5</t>
  </si>
  <si>
    <t>287500,00</t>
  </si>
  <si>
    <t>CONVENZIONE CONSIP " PC DESKTOP E WORKSTATION 2 "-LOTTO 2-DET. 1166 DEL 2.5.2023</t>
  </si>
  <si>
    <t>44793,00</t>
  </si>
  <si>
    <t>BETTINI SERVIZI FARMACIA</t>
  </si>
  <si>
    <t>FARMACIA BETTINI DI RUGGERO E RICCARDO GOLINELLI E</t>
  </si>
  <si>
    <t>59871,00</t>
  </si>
  <si>
    <t>12913,30</t>
  </si>
  <si>
    <t>PORTA MASCARELLA SERVIZI FARMACIA</t>
  </si>
  <si>
    <t>FARMACIA PORTA MASCARELLA</t>
  </si>
  <si>
    <t>14780,00</t>
  </si>
  <si>
    <t>3353,40</t>
  </si>
  <si>
    <t>SANT'ANTONIO SERVIZI FARMACIA</t>
  </si>
  <si>
    <t>FARMACIA S.ANTONIO SNC</t>
  </si>
  <si>
    <t>12481,00</t>
  </si>
  <si>
    <t>3114,40</t>
  </si>
  <si>
    <t>SAN DONNINO SERVIZI FARMACIA</t>
  </si>
  <si>
    <t>FARMACIA S.DONNINO  SNC</t>
  </si>
  <si>
    <t>37638,00</t>
  </si>
  <si>
    <t>8982,40</t>
  </si>
  <si>
    <t>SANT'EGIDIO SERVIZI FARMACIA</t>
  </si>
  <si>
    <t>FARMACIA S.EGIDIO</t>
  </si>
  <si>
    <t>32730,00</t>
  </si>
  <si>
    <t>6227,10</t>
  </si>
  <si>
    <t>DEL PILASTRO SERVIZI FARMACIA</t>
  </si>
  <si>
    <t>FARMACIA DEL PILASTRO SNC</t>
  </si>
  <si>
    <t>32876,00</t>
  </si>
  <si>
    <t>6455,00</t>
  </si>
  <si>
    <t>VITTORIA SERVIZI FARMACIA</t>
  </si>
  <si>
    <t>FARMACIA VITTORIA</t>
  </si>
  <si>
    <t>31400,00</t>
  </si>
  <si>
    <t>6601,80</t>
  </si>
  <si>
    <t>PIAN DI VENOLA SERVIZI FARMACIA</t>
  </si>
  <si>
    <t>FARMACIA PIAN DI VENOLA DELLE DOTTORESSE ANTONELLA</t>
  </si>
  <si>
    <t>21228,00</t>
  </si>
  <si>
    <t>4010,80</t>
  </si>
  <si>
    <t>AL SACRO CUORE SERVIZI FARMACIA</t>
  </si>
  <si>
    <t>FARMACIA AL SACRO CUORE</t>
  </si>
  <si>
    <t>22976,00</t>
  </si>
  <si>
    <t>4612,40</t>
  </si>
  <si>
    <t>GNUDI SERVIZI FARMACIA</t>
  </si>
  <si>
    <t>FARMACIA GNUDI DEL DR.GNUDI F.E P.</t>
  </si>
  <si>
    <t>5635,00</t>
  </si>
  <si>
    <t>821,40</t>
  </si>
  <si>
    <t>HOST SERVIZI FARMACIA</t>
  </si>
  <si>
    <t>FARMACIA HOST</t>
  </si>
  <si>
    <t>7207,00</t>
  </si>
  <si>
    <t>1951,30</t>
  </si>
  <si>
    <t>SACCHETTI SERVIZI FARMACIA</t>
  </si>
  <si>
    <t>FARMACIA SACCHETTI DELLA DOTT.SSA FRANCHI ANNA E C</t>
  </si>
  <si>
    <t>12563,00</t>
  </si>
  <si>
    <t>2993,00</t>
  </si>
  <si>
    <t>DPO_CRA Villa Regina di Modena Utente C.Z. - Eneide Srl. Periodo dal 01/04/2023 al 31/12/2023 eventualmente rinnovabile fino al 30/06/2024</t>
  </si>
  <si>
    <t>ENEIDE S.R.L.</t>
  </si>
  <si>
    <t>28705,20</t>
  </si>
  <si>
    <t>DETE. 493/2023 ADESIONE A CONVENZIONE INTERCENTER PER ACQUISIZIONE SERVIVI TRASMISSIONE DATI RETI MOBILI - TELEFONIA MOBILE,  NOLEGGIO APPARATI, SIM E TRAFFICO LOTTO 2 PER DIP EMERGENZA 118</t>
  </si>
  <si>
    <t>6991,68</t>
  </si>
  <si>
    <t>5962,68</t>
  </si>
  <si>
    <t>4200,00</t>
  </si>
  <si>
    <t>34800,00</t>
  </si>
  <si>
    <t>4707,01</t>
  </si>
  <si>
    <t>Acquisto Scovolini E Copristrumenti</t>
  </si>
  <si>
    <t>2599,00</t>
  </si>
  <si>
    <t>Acquisto contenitori secondari</t>
  </si>
  <si>
    <t>ACQUISTO STRUMENTARIO PI132213-23</t>
  </si>
  <si>
    <t>35960,00</t>
  </si>
  <si>
    <t>3930,00</t>
  </si>
  <si>
    <t>3740,48</t>
  </si>
  <si>
    <t>COMUNALE FUNO SERVIZI FARMACIA</t>
  </si>
  <si>
    <t>FARMACIA COMUNALE FUNO-ARGELATO</t>
  </si>
  <si>
    <t>46933,00</t>
  </si>
  <si>
    <t>10353,10</t>
  </si>
  <si>
    <t>OBERDAN SERVIZI FARMACIA</t>
  </si>
  <si>
    <t>FARMACIA OBERDAN DI FRANCESCA E</t>
  </si>
  <si>
    <t>14025,00</t>
  </si>
  <si>
    <t>3796,00</t>
  </si>
  <si>
    <t>SAN MATTEO SERVIZI FARMACIA</t>
  </si>
  <si>
    <t>FARMACIA SAN MATTEO</t>
  </si>
  <si>
    <t>25195,00</t>
  </si>
  <si>
    <t>61,20</t>
  </si>
  <si>
    <t>SALUS SERVIZI FARMACIA</t>
  </si>
  <si>
    <t>FARMACIA SALUS DR.FARINA</t>
  </si>
  <si>
    <t>14192,00</t>
  </si>
  <si>
    <t>2918,10</t>
  </si>
  <si>
    <t>VAL CARLINA SAN LUCA CAMUGNANO SERVIZI FARMACIA</t>
  </si>
  <si>
    <t>FARMACIA VAL CARLINA S.N.C.</t>
  </si>
  <si>
    <t>33870,00</t>
  </si>
  <si>
    <t>6949,00</t>
  </si>
  <si>
    <t>MADONNA DA SERA SERVIZI FARMACIA</t>
  </si>
  <si>
    <t>FARMACIA MADONNA DA SERA DEL DR.</t>
  </si>
  <si>
    <t>49714,00</t>
  </si>
  <si>
    <t>Acquisto fornitura di articoli di laboratorio-PI140067-23</t>
  </si>
  <si>
    <t>30270,00</t>
  </si>
  <si>
    <t>1068,00</t>
  </si>
  <si>
    <t>DET.1305/23 fornitura biennale di Materiale di consumo per laser Holmio e Thullio</t>
  </si>
  <si>
    <t>124320,00</t>
  </si>
  <si>
    <t>5328,00</t>
  </si>
  <si>
    <t>PNRR - adesione alla Convenzione Consip licenze sw Multibrand lotto 2 determina 1257 del 11.05.2023</t>
  </si>
  <si>
    <t>R1 S.P.A.</t>
  </si>
  <si>
    <t>320901,00</t>
  </si>
  <si>
    <t>IRCCS PROXY PER VISUALIZZARE BIBLIOSAN  - RICERCA CORRENTE 54010103</t>
  </si>
  <si>
    <t>OCLC SRL</t>
  </si>
  <si>
    <t>3745,03</t>
  </si>
  <si>
    <t>SMC MINORI CASI COMPLESSI DGR 1102/2014 ComunitÃ  "Marconi" Utente K.J.- CSAPSA2. Periodo dal 01/01/2023 al 31/12/2023</t>
  </si>
  <si>
    <t>6480,00</t>
  </si>
  <si>
    <t>ADESIONE ALLA CONVENZIONE INTERCENT-ER "SERVIZI POSTALI 2"  - LOTTO 2 "SERV. DI RECAPITO DA INVII PROVENIENTI DA FLUSSO DI STAMPA" PER AUSL BO. DET. 455 DEL 20/02/2023</t>
  </si>
  <si>
    <t>355410,00</t>
  </si>
  <si>
    <t>4633,75</t>
  </si>
  <si>
    <t>DET. 1099/23  PROROGA 180 GG DM E PROCEDURE INTERVENTISTICHE DI NEURORADIOLOGIA</t>
  </si>
  <si>
    <t>ACILIA HS SRL</t>
  </si>
  <si>
    <t>1700,00</t>
  </si>
  <si>
    <t>35066,46</t>
  </si>
  <si>
    <t>NUOVA SAN PIETRO SERVIZI FARMACIA</t>
  </si>
  <si>
    <t>NUOVA FARMACIA SAN PIETRO</t>
  </si>
  <si>
    <t>13819,00</t>
  </si>
  <si>
    <t>2911,80</t>
  </si>
  <si>
    <t>INTERNAZIONELE DICHIARANTE SERVIZI FARMACIA</t>
  </si>
  <si>
    <t>FARMACIA DICHIARANTE SNC (EX INTERNAZIONALE)</t>
  </si>
  <si>
    <t>6041,00</t>
  </si>
  <si>
    <t>1037,00</t>
  </si>
  <si>
    <t>DELLO STERLINO SERVIZI FARMACIA</t>
  </si>
  <si>
    <t>FARMACIA  DELLO STERLINO DELLE DR.SSE DIMARCO</t>
  </si>
  <si>
    <t>21518,00</t>
  </si>
  <si>
    <t>4305,50</t>
  </si>
  <si>
    <t>SAN MARTINO SERVIZI FARMACIA</t>
  </si>
  <si>
    <t>FARMACIA SAN MARTINO DR.SSA CANTAGALLI E C. SAS</t>
  </si>
  <si>
    <t>42698,00</t>
  </si>
  <si>
    <t>9623,50</t>
  </si>
  <si>
    <t>ACQUISTO SUPPORTI ERGONOMICI, DISPOSITIVI PER MOVIMENTAZIONE PAZIENTI E ACCESSORI VARI</t>
  </si>
  <si>
    <t>COREMEC S.R.L.C/DED MOD. 1</t>
  </si>
  <si>
    <t>143,50</t>
  </si>
  <si>
    <t>3703,00</t>
  </si>
  <si>
    <t>SOLI SERVIZI FARMACIA</t>
  </si>
  <si>
    <t>FARMACIA SOLI DELLA CROCE CASALECCH</t>
  </si>
  <si>
    <t>13517,00</t>
  </si>
  <si>
    <t>2948,60</t>
  </si>
  <si>
    <t>NUOVA AVONI SERVIZI FARMACIA</t>
  </si>
  <si>
    <t>FARMACIA NUOVA DEL DOTT. BONZAGNI ROBERTO</t>
  </si>
  <si>
    <t>13483,00</t>
  </si>
  <si>
    <t>2675,30</t>
  </si>
  <si>
    <t>NUOVA SAN RUFFILLO SERVIZI FARMACIA</t>
  </si>
  <si>
    <t>FARMACIA NUOVA SAN RUFFILLO EREDI DOTT. CASADIO</t>
  </si>
  <si>
    <t>27733,00</t>
  </si>
  <si>
    <t>5628,10</t>
  </si>
  <si>
    <t>LIPPO SERVIZI FARMACIA</t>
  </si>
  <si>
    <t>FARMACIA LIPPO SNC DI Dr. Ansaloni Elisa &amp; C.</t>
  </si>
  <si>
    <t>20409,00</t>
  </si>
  <si>
    <t>4993,60</t>
  </si>
  <si>
    <t>DELLA PROVVIDENZA SERVIZI FARMACIA</t>
  </si>
  <si>
    <t>FARMACIA DELLA PROVVIDENZA  S.A.S. DEL DR. GIUSEPP</t>
  </si>
  <si>
    <t>16505,00</t>
  </si>
  <si>
    <t>3544,40</t>
  </si>
  <si>
    <t>D'AZEGLIO SERVIZIO FARMACIA</t>
  </si>
  <si>
    <t>A&amp;A S.R.L. Farmacia D'Azeglio</t>
  </si>
  <si>
    <t>10103,00</t>
  </si>
  <si>
    <t>2059,20</t>
  </si>
  <si>
    <t>CHILLEMI SERVIZI FARMACIA</t>
  </si>
  <si>
    <t>FARMACIA CHILLEMI S.R.L</t>
  </si>
  <si>
    <t>48276,00</t>
  </si>
  <si>
    <t>9381,50</t>
  </si>
  <si>
    <t>DELLA FONTANA SERVIZI FARMACIA</t>
  </si>
  <si>
    <t>FARMACIA DELLA FONTANA SNC DELLE DOTT.SSE MAZZA LU</t>
  </si>
  <si>
    <t>10226,00</t>
  </si>
  <si>
    <t>2637,40</t>
  </si>
  <si>
    <t>NUOVA DELL'IMMACOLATA SERVIZI FARMACIA</t>
  </si>
  <si>
    <t>LA NUOVA FARMACIA DELL'IMMACOLATA S.R.L.</t>
  </si>
  <si>
    <t>6008,00</t>
  </si>
  <si>
    <t>SAN NICOLO' SERVIZI FARMACIA</t>
  </si>
  <si>
    <t>FARMACIA SAN NICOLO' S.R.L.</t>
  </si>
  <si>
    <t>1778,00</t>
  </si>
  <si>
    <t>1008,20</t>
  </si>
  <si>
    <t>OTESIA SERVIZI FARMACIA</t>
  </si>
  <si>
    <t>FARMACIA OTESIA DELLE DOTT.SSE MANTOVANI E. E CESA</t>
  </si>
  <si>
    <t>7502,00</t>
  </si>
  <si>
    <t>3691,60</t>
  </si>
  <si>
    <t>DETE.989/2023 CONTABILIZZAZIONE SPESA ANNO 2023 SERVIZI RESI DA LEPIDA SCPA</t>
  </si>
  <si>
    <t>1830266,13</t>
  </si>
  <si>
    <t>3941,82</t>
  </si>
  <si>
    <t>62010,00</t>
  </si>
  <si>
    <t>10162,00</t>
  </si>
  <si>
    <t>SVAS BIOSANA SPA</t>
  </si>
  <si>
    <t>2282,75</t>
  </si>
  <si>
    <t>ULTERIORE ADESIONE A CONVENZIONE INTERCENT-ER "SERVIZI POSTALI 2" - LOTTO 1 "SERVIZI DI RECAPITO" PER POSTA ORDINARIA CON FORMATO MEDIO- DET. N. 1010 DEL 12/04/2023</t>
  </si>
  <si>
    <t>98580,00</t>
  </si>
  <si>
    <t>ACQUISTO DIAGNOSTICI PER UTIN</t>
  </si>
  <si>
    <t>16030,64</t>
  </si>
  <si>
    <t>MANUTENZIONI ARREDI ED ATTREZZATURE OSPEDALE MAGGIORE</t>
  </si>
  <si>
    <t>DP PHARMA SRL</t>
  </si>
  <si>
    <t>4870,50</t>
  </si>
  <si>
    <t>5804,00</t>
  </si>
  <si>
    <t>ACQUISTO SOTTOSOGLIA MEDICINALI</t>
  </si>
  <si>
    <t>5737,20</t>
  </si>
  <si>
    <t>Acquisto materiale ortodonzia Rocky Montain</t>
  </si>
  <si>
    <t>HARARI MS SRL</t>
  </si>
  <si>
    <t>1327,03</t>
  </si>
  <si>
    <t>ASSISTENZA TECNICA ANNO 2023 DITTA PHILIPS</t>
  </si>
  <si>
    <t>24151,84</t>
  </si>
  <si>
    <t>DPO 2023  CRA 'Parco della Graziosa' n. 5 posti PAI</t>
  </si>
  <si>
    <t>6935,24</t>
  </si>
  <si>
    <t>DPO 2023 CRA "Parco del Navile" - Bologna n. 2 posti PAI e n. 1 posto DGR 2068/2004</t>
  </si>
  <si>
    <t>109000,00</t>
  </si>
  <si>
    <t>43648,22</t>
  </si>
  <si>
    <t>DPO 2023 CRA "Focherini e Marchesi" Modena per n. 2 posti PAI</t>
  </si>
  <si>
    <t>Gulliver Coop Soc</t>
  </si>
  <si>
    <t>37404,00</t>
  </si>
  <si>
    <t>18545,26</t>
  </si>
  <si>
    <t>39050,00</t>
  </si>
  <si>
    <t>7100,00</t>
  </si>
  <si>
    <t>Progetto di laboratorio pittura murale presso Sez. Femminile Casa circondariale di Bologna 2023</t>
  </si>
  <si>
    <t>COOPSPETTACOLO.IT SOC. COOP.A.R.L.</t>
  </si>
  <si>
    <t>5870,00</t>
  </si>
  <si>
    <t>2671,16</t>
  </si>
  <si>
    <t>DETE 1260 2023 FORNITURA DI ETICHETTE ED ETICHETTE TERMICHE AUSL BO LOTTO 2</t>
  </si>
  <si>
    <t>21727,27</t>
  </si>
  <si>
    <t>954,00</t>
  </si>
  <si>
    <t>5071,00</t>
  </si>
  <si>
    <t>ONORANZE FUNEBRI BORGHI</t>
  </si>
  <si>
    <t>2250,00</t>
  </si>
  <si>
    <t>ACQUISTO DISPOSITIVI FISSAGGIO CATETERI ED ALTRO</t>
  </si>
  <si>
    <t>Acquisto materiale HW per Progetto di Ricerca VR-PMP (IRCCS - Medicina Riabilitativa Infantile)</t>
  </si>
  <si>
    <t>194,00</t>
  </si>
  <si>
    <t>DETE 1412/23 PROROGA SONDE, TUBI E CATETERI NELLE MORE DI IC - CLINILAB</t>
  </si>
  <si>
    <t>99195,00</t>
  </si>
  <si>
    <t>6188,00</t>
  </si>
  <si>
    <t>ACQUISTO ABBONAMENTI A "PUNTOSICURO" ED. DIGITALE - ANNO 2023</t>
  </si>
  <si>
    <t>MEGA ITALIA MEDIA SPA</t>
  </si>
  <si>
    <t>240,00</t>
  </si>
  <si>
    <t>Gli studi clinici di qualitÃ : GCP, ruoli e responsabilitÃ </t>
  </si>
  <si>
    <t>LS Academy EasyB Srl</t>
  </si>
  <si>
    <t>10585,00</t>
  </si>
  <si>
    <t>Attivazione servizio pubblicazione sugli elenchi telefonici edizioni 2023 e 2024 per AusBO, AOU Bo e IOR. Determina n. 1055 del 18/04/2023</t>
  </si>
  <si>
    <t>Italiaonline (ex SEAT)</t>
  </si>
  <si>
    <t>4042,80</t>
  </si>
  <si>
    <t>6308,65</t>
  </si>
  <si>
    <t>Fornitura servizi di manutenzione, aggiornamento e assistenza del sistema RAMWEB come da capitolato</t>
  </si>
  <si>
    <t>ALTAVIA S.R.L.</t>
  </si>
  <si>
    <t>33350,00</t>
  </si>
  <si>
    <t>16805,00</t>
  </si>
  <si>
    <t>DET.1038/23-LANCETTE PUNGIDITO E SISTEMI GLICEMIA OSPEDALIERO E TERRITORIALE CONV. INTERCENTER - LOTTO 6</t>
  </si>
  <si>
    <t>DET.1038/23-LANCETTE PUNGIDITO E SISTEMI GLICEMIA OSPEDALIERO E TERRITORIALE CONV. INTERCENTER - LOTTO 7</t>
  </si>
  <si>
    <t>292500,00</t>
  </si>
  <si>
    <t>8600,00</t>
  </si>
  <si>
    <t>DET.1038/23-LANCETTE PUNGIDITO E SISTEMI GLICEMIA OSPEDALIERO E TERRITORIALE CONV. INTERCENTER - LOTTO 9</t>
  </si>
  <si>
    <t>PONTE RIZZOLI SERVIZI FARMACIA</t>
  </si>
  <si>
    <t>FARMACIA PONTE RIZZOLI SNC</t>
  </si>
  <si>
    <t>6058,00</t>
  </si>
  <si>
    <t>1209,00</t>
  </si>
  <si>
    <t>GRUPPIONI SERVIZI FARMACIA</t>
  </si>
  <si>
    <t>FARMACIA GRUPPIONI SNC DI GRUPPIONI VELIA E C.</t>
  </si>
  <si>
    <t>22040,00</t>
  </si>
  <si>
    <t>4866,10</t>
  </si>
  <si>
    <t>MARCO POLO SERVIZI FARMACIA</t>
  </si>
  <si>
    <t>FARMACIA MARCO POLO DEL DOTT. BIAGIETTI GIOVANNI E</t>
  </si>
  <si>
    <t>44181,00</t>
  </si>
  <si>
    <t>9634,40</t>
  </si>
  <si>
    <t>BOTTI SERVIZI FARMACIA</t>
  </si>
  <si>
    <t>FARMACIA BOTTI S.N.C.</t>
  </si>
  <si>
    <t>35378,00</t>
  </si>
  <si>
    <t>CENTRALE SERVIZI FARMACIA</t>
  </si>
  <si>
    <t>FARMACIA CENTRALE  S.A.S.</t>
  </si>
  <si>
    <t>30496,00</t>
  </si>
  <si>
    <t>5411,00</t>
  </si>
  <si>
    <t>DELL'IMMACOLATA SERVIZI FARMACIA</t>
  </si>
  <si>
    <t>FARMACIA  DELLIMMACOLATA DEL DOTT. BARALDI</t>
  </si>
  <si>
    <t>23025,00</t>
  </si>
  <si>
    <t>6245,30</t>
  </si>
  <si>
    <t>ZOLA PREDOSA SERVIZI FARMACIA</t>
  </si>
  <si>
    <t>FARMACIA DI ZOLA  DELLA DR.SSA  GANDOLFI</t>
  </si>
  <si>
    <t>27001,00</t>
  </si>
  <si>
    <t>SAN GIOVANNI SERVIZI FARMACIA</t>
  </si>
  <si>
    <t>FARMACIA SAN GIOVANNI</t>
  </si>
  <si>
    <t>15555,00</t>
  </si>
  <si>
    <t>4340,80</t>
  </si>
  <si>
    <t>SIRENA SERVIZI FARMACIA</t>
  </si>
  <si>
    <t>FARMACIA SIRENA S.N.C.</t>
  </si>
  <si>
    <t>20203,00</t>
  </si>
  <si>
    <t>4784,90</t>
  </si>
  <si>
    <t>DR. MATTIOLI SERVIZI FARMACIA</t>
  </si>
  <si>
    <t>FARMACIA MATTIOLI S.N.C.</t>
  </si>
  <si>
    <t>20752,00</t>
  </si>
  <si>
    <t>4764,40</t>
  </si>
  <si>
    <t>DI CASARALTA SERVIZI FARMACIA</t>
  </si>
  <si>
    <t>FARMACIA DI CASARALTA S.N.C.</t>
  </si>
  <si>
    <t>23865,00</t>
  </si>
  <si>
    <t>5305,80</t>
  </si>
  <si>
    <t>BURZI SERVIZI FARMACIA</t>
  </si>
  <si>
    <t>FARMACIA BURZI S.N.C.</t>
  </si>
  <si>
    <t>24208,00</t>
  </si>
  <si>
    <t>5583,70</t>
  </si>
  <si>
    <t>DELLA CIRENAICA SERVIZI FARMACIA</t>
  </si>
  <si>
    <t>FARMACIA DELLA CIRENAICA  S.N.C.</t>
  </si>
  <si>
    <t>28738,00</t>
  </si>
  <si>
    <t>7241,00</t>
  </si>
  <si>
    <t>ARGENTIERI SERVIZI FARMACIA</t>
  </si>
  <si>
    <t>FARMACIA ARGENTIERI  S.N.C</t>
  </si>
  <si>
    <t>17143,00</t>
  </si>
  <si>
    <t>3637,20</t>
  </si>
  <si>
    <t>FARMACIA S. MARTINO</t>
  </si>
  <si>
    <t>12750,00</t>
  </si>
  <si>
    <t>2526,00</t>
  </si>
  <si>
    <t>STELLA SERVIZI FARMACIA</t>
  </si>
  <si>
    <t>FARMACIA STELLA DELLA DR.SA  FALCONE   E C. S.A.S.</t>
  </si>
  <si>
    <t>23555,00</t>
  </si>
  <si>
    <t>4893,30</t>
  </si>
  <si>
    <t>DI BENTIVOGLIO SERVIZI FARMACIA</t>
  </si>
  <si>
    <t>FARMACIA DI BENTIVOGLIO DELLA DR.SSA RABBI</t>
  </si>
  <si>
    <t>9993,00</t>
  </si>
  <si>
    <t>2122,50</t>
  </si>
  <si>
    <t>5530,66</t>
  </si>
  <si>
    <t>ANTICA DI PIANORO SERVIZI FARMACIA</t>
  </si>
  <si>
    <t>ANTICA FARMACIA DI PIANORO S.A.S.</t>
  </si>
  <si>
    <t>70585,00</t>
  </si>
  <si>
    <t>16665,20</t>
  </si>
  <si>
    <t>DELLA PIEVE SERVIZI FARMACIA</t>
  </si>
  <si>
    <t>FARMACIA DELLA PIEVE S.N.C. DEI DOTTORI RICCARDO B</t>
  </si>
  <si>
    <t>26945,00</t>
  </si>
  <si>
    <t>4171,00</t>
  </si>
  <si>
    <t>DUE GIGLI SERVIZI FARMACIA</t>
  </si>
  <si>
    <t>FARMACIA DUE GIGLI S.N.C.</t>
  </si>
  <si>
    <t>4902,00</t>
  </si>
  <si>
    <t>1008,80</t>
  </si>
  <si>
    <t>PROROGA PROTESI VASCOLARI E PATCH AUSLBO</t>
  </si>
  <si>
    <t>1200,00</t>
  </si>
  <si>
    <t>DET. 867/23 PROROGA TECNICA SERVICE IDONEITA' SIEROLOGICA SACCHE SANGUE SIMT ABBOTT</t>
  </si>
  <si>
    <t>312280,00</t>
  </si>
  <si>
    <t>90029,42</t>
  </si>
  <si>
    <t>CONVENZIONE CONSIP ECOTOMOGRAFI 2-LOTTO 2 PER AUSLBO-DET. 991 DEL 7.4.2023</t>
  </si>
  <si>
    <t>24025,00</t>
  </si>
  <si>
    <t>ACQUISTO SFIGMOMANOMETRI E DISPOSITIVI MEDICI VARI</t>
  </si>
  <si>
    <t>3727,76</t>
  </si>
  <si>
    <t>SMC 2023 MINORI CASI COMPLESSI DGR 1102/2014 ComunitÃ  "Casa Santa Chiara" Utente D.D.K.T.H.- Soc. Coop. DOMUS</t>
  </si>
  <si>
    <t>SOCIETA COOPERATIVA SOCIALE DOMUS COOP - ONLUS</t>
  </si>
  <si>
    <t>4431,65</t>
  </si>
  <si>
    <t>ASSISTENZA TECNICA 2023 DITTA MULTI-MEDICAL</t>
  </si>
  <si>
    <t>732,00</t>
  </si>
  <si>
    <t>29250,00</t>
  </si>
  <si>
    <t>2106,00</t>
  </si>
  <si>
    <t>Acquisto di n 1 ottotipo luminoso per Att Amb Medicina dello Sport CDS Casalecchio</t>
  </si>
  <si>
    <t>INGROSCART SRL</t>
  </si>
  <si>
    <t>189,00</t>
  </si>
  <si>
    <t>5357,12</t>
  </si>
  <si>
    <t>EMISSIONE ORDINE A SOPRAVVENIENZA PER COPERTURA ORDINE EOB22-1556</t>
  </si>
  <si>
    <t>BROAD INSTITUTE</t>
  </si>
  <si>
    <t>647,44</t>
  </si>
  <si>
    <t>10793,95</t>
  </si>
  <si>
    <t>5217,80</t>
  </si>
  <si>
    <t>300000,00</t>
  </si>
  <si>
    <t>63475,00</t>
  </si>
  <si>
    <t>IMPLEMED ITALIA SR</t>
  </si>
  <si>
    <t>160000,00</t>
  </si>
  <si>
    <t>38996,94</t>
  </si>
  <si>
    <t>3150,00</t>
  </si>
  <si>
    <t>1625,00</t>
  </si>
  <si>
    <t>39797,50</t>
  </si>
  <si>
    <t>2180,00</t>
  </si>
  <si>
    <t>35150,01</t>
  </si>
  <si>
    <t>5991,02</t>
  </si>
  <si>
    <t>16620,01</t>
  </si>
  <si>
    <t>21697,75</t>
  </si>
  <si>
    <t>BILANCIA PESAPERSONE</t>
  </si>
  <si>
    <t>608,00</t>
  </si>
  <si>
    <t>TAVOLINI E SEGGIOLINE PER BAMBINI</t>
  </si>
  <si>
    <t>5764,23</t>
  </si>
  <si>
    <t>16334,38</t>
  </si>
  <si>
    <t>5843,17</t>
  </si>
  <si>
    <t>2299,50</t>
  </si>
  <si>
    <t>CONVENZIONE INTERCENT-AUSILI PER LA MOBILITA' DEI DISABILI LOTTO1-DET. 297 DEL 3.2.2023</t>
  </si>
  <si>
    <t>15603,00</t>
  </si>
  <si>
    <t>Thermo Fisher Scientific Milano Srl</t>
  </si>
  <si>
    <t>ASSISTENZA TECNICA 2023 DITTA AREMA</t>
  </si>
  <si>
    <t>Arema Bologna srl</t>
  </si>
  <si>
    <t>ACQUISTO EMODERIVATI</t>
  </si>
  <si>
    <t>3800,00</t>
  </si>
  <si>
    <t>12950,62</t>
  </si>
  <si>
    <t>ACQUISTO CAVI ELETTROBISTURI DI PROPRIETA</t>
  </si>
  <si>
    <t>2326,00</t>
  </si>
  <si>
    <t>ACQUISTO SPUGNE SAPONATE PER LAVAGGIO PAZIENTE</t>
  </si>
  <si>
    <t>2932,00</t>
  </si>
  <si>
    <t>ADesione convenzione Intercent-ER "Toner originali e rigenerati 3" - lotto 1 Toner originali per Ausl Bologna - Det. n. 947 del 04/04/2023</t>
  </si>
  <si>
    <t>617420,00</t>
  </si>
  <si>
    <t>66982,56</t>
  </si>
  <si>
    <t>ACQUISTO CONTENITORI PER DECONTAMINAZIONE</t>
  </si>
  <si>
    <t>19829,00</t>
  </si>
  <si>
    <t>1827,61</t>
  </si>
  <si>
    <t>77910,00</t>
  </si>
  <si>
    <t>27060,00</t>
  </si>
  <si>
    <t>46825,00</t>
  </si>
  <si>
    <t>11945,00</t>
  </si>
  <si>
    <t>11308,00</t>
  </si>
  <si>
    <t>G.F. Electromedics</t>
  </si>
  <si>
    <t>3657,60</t>
  </si>
  <si>
    <t>480000,00</t>
  </si>
  <si>
    <t>82366,50</t>
  </si>
  <si>
    <t>SORACE MARESCA SERVIZI FARMACIA</t>
  </si>
  <si>
    <t>FARMACIA SORACE MARESCA SNC</t>
  </si>
  <si>
    <t>38883,00</t>
  </si>
  <si>
    <t>7244,80</t>
  </si>
  <si>
    <t>MURA SAN CARLO SERVIZI FARMACIA</t>
  </si>
  <si>
    <t>FARMACIA MURA SAN CARLO S.N.C.</t>
  </si>
  <si>
    <t>15832,00</t>
  </si>
  <si>
    <t>4410,00</t>
  </si>
  <si>
    <t>ACQUISTO PANNELLI PER CAMPAGNA 5X1000</t>
  </si>
  <si>
    <t>GRAFICHE BARONCINI SRLC/DED. MOD.2</t>
  </si>
  <si>
    <t>1220,00</t>
  </si>
  <si>
    <t>6668,34</t>
  </si>
  <si>
    <t>MONTANARI SAVIGNO SERVIZI FARMACIA</t>
  </si>
  <si>
    <t>FARMACIA MONTANARI</t>
  </si>
  <si>
    <t>20253,00</t>
  </si>
  <si>
    <t>4492,80</t>
  </si>
  <si>
    <t>LAPI SERVIZI FARMACIA</t>
  </si>
  <si>
    <t>FARMACIA  LAPI SAS</t>
  </si>
  <si>
    <t>31211,00</t>
  </si>
  <si>
    <t>7341,90</t>
  </si>
  <si>
    <t>SPEGHINI SERVIZI FARMACIA</t>
  </si>
  <si>
    <t>FARMACIA SPEGHINI VINCENZO</t>
  </si>
  <si>
    <t>4731,20</t>
  </si>
  <si>
    <t>53015,00</t>
  </si>
  <si>
    <t>ACQUISTO MATERIALE DI CONSUMO DEDICATO PER ELETTROCARDIOGRAFI MORTARA RANGONI -PI133798-23</t>
  </si>
  <si>
    <t>39662,14</t>
  </si>
  <si>
    <t>3854,76</t>
  </si>
  <si>
    <t>ACQUISTO GALENICI E MATERIE PRIME</t>
  </si>
  <si>
    <t>1344,00</t>
  </si>
  <si>
    <t>SANTA CATERINA SERVIZI FARMACIA</t>
  </si>
  <si>
    <t>FARMACIA SANTA CATERINA S.R.L.</t>
  </si>
  <si>
    <t>23379,00</t>
  </si>
  <si>
    <t>4527,40</t>
  </si>
  <si>
    <t>1822,40</t>
  </si>
  <si>
    <t>SANT'APOLLINARE SERVIZI FARMACIA</t>
  </si>
  <si>
    <t>FARMACIA SANTAPOLLINARE S.N.C</t>
  </si>
  <si>
    <t>28674,00</t>
  </si>
  <si>
    <t>DELLA BARCA SERVIZI FARMACIA</t>
  </si>
  <si>
    <t>FARMACIA DELLA BARCA SAS</t>
  </si>
  <si>
    <t>30508,00</t>
  </si>
  <si>
    <t>7509,80</t>
  </si>
  <si>
    <t>798,05</t>
  </si>
  <si>
    <t>DALLE DUE TORRI SERVIZI FARMACIA</t>
  </si>
  <si>
    <t>FARMACIA DALLE DUE TORRI</t>
  </si>
  <si>
    <t>18873,00</t>
  </si>
  <si>
    <t>1970,40</t>
  </si>
  <si>
    <t>Campoverde srl</t>
  </si>
  <si>
    <t>ACQUISTO DI DISPOSITIVI MEDICI PER GINECOLOGIA, OSTETRICIA , SENOLOGIA E VARIE</t>
  </si>
  <si>
    <t>63,00</t>
  </si>
  <si>
    <t>4747,76</t>
  </si>
  <si>
    <t>5812,18</t>
  </si>
  <si>
    <t>SERVIZIO DI ASSISTENZA FR PER LE STERILIZZATRICI PRODOTTE DA CISA SPA IN USO PRESSO LE STERILIZZAZIONI DEI PP.OO. DELL'AUSL DI BOLOGNA</t>
  </si>
  <si>
    <t>CISA Production S.r.l.</t>
  </si>
  <si>
    <t>5740,00</t>
  </si>
  <si>
    <t>ACQUISTO ELETTRODI ECG WHITENSOR  - " PI127368-23</t>
  </si>
  <si>
    <t>39220,25</t>
  </si>
  <si>
    <t>24685,06</t>
  </si>
  <si>
    <t>ModalitÃ  di verifica degli impianti di protezione contro le scariche atmosferiche secondo Norma CEI EN 62305</t>
  </si>
  <si>
    <t>RONCARATI SRL</t>
  </si>
  <si>
    <t>688,52</t>
  </si>
  <si>
    <t>2135,10</t>
  </si>
  <si>
    <t>5875,50</t>
  </si>
  <si>
    <t>DET.1198/2023 RISCATTO NOLEGGIO ANGIOGRAFO MULTIDISCIPLINARE OM</t>
  </si>
  <si>
    <t>ZIEHM IMAGING SRL</t>
  </si>
  <si>
    <t>DETE.891/2023 INTERCENTER ADESIONE A CONVENZIONE PER ACQUISIZIONE SERVIZI INFORMATICI PER IL PROGETTO DENOMINATO "GRU" GESTIONE RISORSE UMANE</t>
  </si>
  <si>
    <t>64115,38</t>
  </si>
  <si>
    <t>ACQUISTO ABBONAMENTO A "CERTIFICO.IT" ED. DIGITALE - ANNO 2023</t>
  </si>
  <si>
    <t>CERTIFICO S.R.L.</t>
  </si>
  <si>
    <t>735,00</t>
  </si>
  <si>
    <t>ACQUISTO FRANTUMA PILLOLE ED ALTRI DISPOSITIVI</t>
  </si>
  <si>
    <t>907,00</t>
  </si>
  <si>
    <t>4851,60</t>
  </si>
  <si>
    <t>6796,90</t>
  </si>
  <si>
    <t>1928,00</t>
  </si>
  <si>
    <t>3937,00</t>
  </si>
  <si>
    <t>MEDICA SPA</t>
  </si>
  <si>
    <t>358,00</t>
  </si>
  <si>
    <t>286,40</t>
  </si>
  <si>
    <t>24300,00</t>
  </si>
  <si>
    <t>31680,00</t>
  </si>
  <si>
    <t>22043,55</t>
  </si>
  <si>
    <t>ACQUISTO BARATTOLI E CONTENITORI PER SANITA' PUBBLICA</t>
  </si>
  <si>
    <t>1450,00</t>
  </si>
  <si>
    <t>ASSISTENZA TECNICA 2023 DITTA WUNDER</t>
  </si>
  <si>
    <t>Wunder SABI</t>
  </si>
  <si>
    <t>75,00</t>
  </si>
  <si>
    <t>ASSISTENZA TECNICA 2023 DITTA BEST MEDICAL</t>
  </si>
  <si>
    <t>Best Medical S.r.l.</t>
  </si>
  <si>
    <t>DETE.843/2023 ACQUISIZIONE SERVIZI DI MANUTENZIONE E ASSISTENZA SOFTWARE DITTA EUROSOFT CONSULTING S.R.L.</t>
  </si>
  <si>
    <t>EuroSoft Consulting S.R.L.</t>
  </si>
  <si>
    <t>413229,63</t>
  </si>
  <si>
    <t>27649,88</t>
  </si>
  <si>
    <t>RIVISTE NETWORK ANNO 2023-DET. 3401 DEL 30.12.2022</t>
  </si>
  <si>
    <t>23662,00</t>
  </si>
  <si>
    <t>23351,77</t>
  </si>
  <si>
    <t>SAN PAOLO SERVIZI FARMACIA</t>
  </si>
  <si>
    <t>FARMACIA S.PAOLO DI FRANCESCO CONCATO</t>
  </si>
  <si>
    <t>6751,00</t>
  </si>
  <si>
    <t>SOLDA' SERVIZI FARMACIA</t>
  </si>
  <si>
    <t>FARMACIA SOLDA DI SOLDA SERENA &amp; C. S.A.S.</t>
  </si>
  <si>
    <t>16625,00</t>
  </si>
  <si>
    <t>3292,80</t>
  </si>
  <si>
    <t>CARRACCI SERVIZI FARMACIA</t>
  </si>
  <si>
    <t>FARM.CARRACCI DELLA SOCIETA' IOFARMA HOLDING 2 SRL</t>
  </si>
  <si>
    <t>7071,00</t>
  </si>
  <si>
    <t>PADULLE SERVIZI FARMACIA</t>
  </si>
  <si>
    <t>FARMACIA PADULLE S.N.C. DEI DOTTORI RICCARDO BARUC</t>
  </si>
  <si>
    <t>13698,00</t>
  </si>
  <si>
    <t>5967,30</t>
  </si>
  <si>
    <t>MAZZINI SERVIZI FARMACIA</t>
  </si>
  <si>
    <t>FARMACIA MAZZINI S.N.C. DELLA DOTT.SSA STRIGLIONI</t>
  </si>
  <si>
    <t>19717,00</t>
  </si>
  <si>
    <t>5697,20</t>
  </si>
  <si>
    <t>GUANDALINI SERVIZI FARMACIA</t>
  </si>
  <si>
    <t>FARMACIA GUANDALINI DELLA DOTT.SSA TESTI ANTONELLA</t>
  </si>
  <si>
    <t>21979,00</t>
  </si>
  <si>
    <t>4694,20</t>
  </si>
  <si>
    <t>SS ANNUNZIATA SERVIZI FARMACIA</t>
  </si>
  <si>
    <t>FARMACIA SS. ANNUNZIATA BOLOGNA S.R.L.</t>
  </si>
  <si>
    <t>7245,00</t>
  </si>
  <si>
    <t>DR. MAX PORTA CASTIGLIONE ORTI</t>
  </si>
  <si>
    <t>FARMACIA DR.MAX BOLOGNA ORTI - ENDURANCE S.R.L.</t>
  </si>
  <si>
    <t>93848,00</t>
  </si>
  <si>
    <t>SAN SALVATORE SERVIZI FARMACIA</t>
  </si>
  <si>
    <t>FARMACIA SAN SALVATORE - TEFIFARMA S.R.L.</t>
  </si>
  <si>
    <t>3238,00</t>
  </si>
  <si>
    <t>831,20</t>
  </si>
  <si>
    <t>DI GRANAROLO SERVIZI FARMACIA</t>
  </si>
  <si>
    <t>FARMACIA DI GRANAROLO DELLA DOTT.SSA CASAMASSIMA F</t>
  </si>
  <si>
    <t>22133,00</t>
  </si>
  <si>
    <t>5205,20</t>
  </si>
  <si>
    <t>VIAEMILIA SERVIZI FARMACIA</t>
  </si>
  <si>
    <t>FARMACIA VIAEMILIA</t>
  </si>
  <si>
    <t>7217,00</t>
  </si>
  <si>
    <t>1699,60</t>
  </si>
  <si>
    <t>ZARRI SANTA ESTER SERVIZI FARMACIA</t>
  </si>
  <si>
    <t>FARMACIA NOVARA S.R.L.</t>
  </si>
  <si>
    <t>22410,00</t>
  </si>
  <si>
    <t>NUOVA CENTRALE SERVIZI FARMACIA</t>
  </si>
  <si>
    <t>NUOVA FARMACIA CENTRALE S.R.L.</t>
  </si>
  <si>
    <t>58027,00</t>
  </si>
  <si>
    <t>13145,80</t>
  </si>
  <si>
    <t>DI MONGHIDORO SERVIZI FARMACIA</t>
  </si>
  <si>
    <t>Farmacia di Monghidoro della dott.ssa Cristina Lol</t>
  </si>
  <si>
    <t>25064,00</t>
  </si>
  <si>
    <t>4370,80</t>
  </si>
  <si>
    <t>PERSICETANA SERVIZI FARMACIA</t>
  </si>
  <si>
    <t>FARMACIA PERSICETANA SNC DEI DOTTORI MONICA BELLET</t>
  </si>
  <si>
    <t>2527,00</t>
  </si>
  <si>
    <t>944,00</t>
  </si>
  <si>
    <t>Acquisizione Stampante Laser a Colori A3 per Dip. Tecnico Patrimoniale OM come da capitolato</t>
  </si>
  <si>
    <t>ACQUISTO DISPOSITIVI PER PROCEDURE ENDOSCOPICHE</t>
  </si>
  <si>
    <t>GI.PI.GI. S.A.S.</t>
  </si>
  <si>
    <t>1584,00</t>
  </si>
  <si>
    <t>DETE.591/2023 INTERCENTER ACQUISIZONE SERVIZI TRASMISSIONE DATI RETE FISSA LOTTO 1 -SERVIZIO AGGIUNTIVO VIRTUAL  IP PBX</t>
  </si>
  <si>
    <t>3318000,00</t>
  </si>
  <si>
    <t>434500,00</t>
  </si>
  <si>
    <t>2117,00</t>
  </si>
  <si>
    <t>DEGLI ALEMANNI SERVIZI FARMACIA</t>
  </si>
  <si>
    <t>FARMACIA DEGLI ALEMANNI</t>
  </si>
  <si>
    <t>9280,00</t>
  </si>
  <si>
    <t>2178,20</t>
  </si>
  <si>
    <t>SAN MAMMOLO SERVIZI FARMACIA</t>
  </si>
  <si>
    <t>FARMACIA S.MAMOLO DR.MAGAGNOLI</t>
  </si>
  <si>
    <t>12235,00</t>
  </si>
  <si>
    <t>2339,20</t>
  </si>
  <si>
    <t>4094,96</t>
  </si>
  <si>
    <t>ZINCONE SERVIZI FARMACIA</t>
  </si>
  <si>
    <t>FARMACIA ZINCONE</t>
  </si>
  <si>
    <t>21616,00</t>
  </si>
  <si>
    <t>5853,10</t>
  </si>
  <si>
    <t>CA' DE' FABBRI SERVIZ FARMACIA</t>
  </si>
  <si>
    <t>FARMACIA CA DE FABBRI</t>
  </si>
  <si>
    <t>14197,00</t>
  </si>
  <si>
    <t>3292,30</t>
  </si>
  <si>
    <t>ACQUISTO PROTEZIONI OCULARI MONOUSO S2020</t>
  </si>
  <si>
    <t>970,00</t>
  </si>
  <si>
    <t>5279,30</t>
  </si>
  <si>
    <t>FORNITURA ARREDI SU MISURA FORNITURA E MONTAGGIO STROKE OSP MAGGIORE _ PI140903-23</t>
  </si>
  <si>
    <t>11990,00</t>
  </si>
  <si>
    <t>3750,00</t>
  </si>
  <si>
    <t>20,60</t>
  </si>
  <si>
    <t>3902,59</t>
  </si>
  <si>
    <t>RDO Consip 3552735 - Acquisizione nÂ°20 (venti) giornate per lo sviluppo del sito web intranet per Medici di Medicina Generale (MMG) per lâ€™anno 2023 fatturate a consumo come da capitolato</t>
  </si>
  <si>
    <t>REDOMINO SRL</t>
  </si>
  <si>
    <t>11680,00</t>
  </si>
  <si>
    <t>ACQUISTO KIT PER BIOPSIA in urgenza</t>
  </si>
  <si>
    <t>4440,00</t>
  </si>
  <si>
    <t>BIO-RAD LABORATORIES SRL</t>
  </si>
  <si>
    <t>69,40</t>
  </si>
  <si>
    <t>DET. 1369_2023 FORNITURA DI MATERIALE DI CONSUMO PER SISTEMI VIDEOARTROSCOPICI.</t>
  </si>
  <si>
    <t>RDO Intercent-ER PI140150-23 - Servizio di manutenzione e assistenza del portale WEB â€œCommissione Farmaci AVECâ€ come da capitolato</t>
  </si>
  <si>
    <t>DEDAGROUP WIZ SRL</t>
  </si>
  <si>
    <t>PROMEGA ITALIA</t>
  </si>
  <si>
    <t>2224,25</t>
  </si>
  <si>
    <t>DET.1389/23 AFFIDAMENTO DIRETTO (L.108/21) SERVICE SISTEMA PER FIBROSI CISTICA AUSL BO</t>
  </si>
  <si>
    <t>DEVYSER ITALIA SRL</t>
  </si>
  <si>
    <t>94841,62</t>
  </si>
  <si>
    <t>2678,00</t>
  </si>
  <si>
    <t>3530,00</t>
  </si>
  <si>
    <t>CENTRO SALUS S.R.L.</t>
  </si>
  <si>
    <t>323,00</t>
  </si>
  <si>
    <t>27788,30</t>
  </si>
  <si>
    <t>CONVENZIONE INTERCENT MAMMOGRAFI PNRR-LOTTO 1-DET.1154 DEL 28.4.2023</t>
  </si>
  <si>
    <t>technologic srl</t>
  </si>
  <si>
    <t>133554,00</t>
  </si>
  <si>
    <t>CONVENZIONE INTERCENT MAMMOGRAFI LOTTO 1 PER AUSLBO-DET.1154 DEL 28.4.2023</t>
  </si>
  <si>
    <t>124586,00</t>
  </si>
  <si>
    <t>CONVENZIONE INTERCENT MAMMOGRAFI LOTTO 1 PER AUSLBO-DET. 1154 DEL 28.4.2023</t>
  </si>
  <si>
    <t>124816,00</t>
  </si>
  <si>
    <t>111856,00</t>
  </si>
  <si>
    <t>ACQUISTO CARTUCCE E MATERIALE DI CONSUMO STAMPANTE VETRINI ANATOMIA PATOLOGICA</t>
  </si>
  <si>
    <t>30208,00</t>
  </si>
  <si>
    <t>7156,00</t>
  </si>
  <si>
    <t>6915,54</t>
  </si>
  <si>
    <t>1729,42</t>
  </si>
  <si>
    <t>6053,24</t>
  </si>
  <si>
    <t>ASSISTENZA TECNICA 2023 DITTA NEOS MEDICA</t>
  </si>
  <si>
    <t>neos medical srl</t>
  </si>
  <si>
    <t>Acquisto nÂ°2000 (duemila) badge magnetici/contactless con le specifiche della AUSL di Bologna (anno 2023) come da capitolato</t>
  </si>
  <si>
    <t>SPHERA SERVICE S.R.L.</t>
  </si>
  <si>
    <t>3060,00</t>
  </si>
  <si>
    <t>DELLA REGINA SERVIZI FARMACIA</t>
  </si>
  <si>
    <t>FARMACIA DELLA REGINA-DR. O.MONTECC</t>
  </si>
  <si>
    <t>8169,00</t>
  </si>
  <si>
    <t>2274,70</t>
  </si>
  <si>
    <t>FERRARI SERVIZI FARMACIA</t>
  </si>
  <si>
    <t>FARMACIA FERRARI S.N.C.</t>
  </si>
  <si>
    <t>9791,00</t>
  </si>
  <si>
    <t>2508,40</t>
  </si>
  <si>
    <t>VENTURINA SERVIZI FARMACIA</t>
  </si>
  <si>
    <t>FARMACIA VENTURINA MAZZONI ANNAROSA</t>
  </si>
  <si>
    <t>19404,00</t>
  </si>
  <si>
    <t>4106,20</t>
  </si>
  <si>
    <t>MARZABOTTO SERVIZI FARMACIA</t>
  </si>
  <si>
    <t>FARMACIA DI MARZABOTTO</t>
  </si>
  <si>
    <t>36845,00</t>
  </si>
  <si>
    <t>8200,30</t>
  </si>
  <si>
    <t>SERVIZIO DI ARCHIVIAZIONE DOCUMENTAZIONE SANITARIA COVID</t>
  </si>
  <si>
    <t>PLURIMA SPA</t>
  </si>
  <si>
    <t>1383,73</t>
  </si>
  <si>
    <t>GHIRONDA SERVIZI FARMACIA</t>
  </si>
  <si>
    <t>FARMACIA GHIRONDA S.N.C.</t>
  </si>
  <si>
    <t>31378,00</t>
  </si>
  <si>
    <t>7025,60</t>
  </si>
  <si>
    <t>DI CORTICELLA SERVIZI FARMACIA</t>
  </si>
  <si>
    <t>FARMACIA DI CORTICELLA</t>
  </si>
  <si>
    <t>30447,00</t>
  </si>
  <si>
    <t>6906,10</t>
  </si>
  <si>
    <t>REALE MONTEBUGNOLI SERVIZI FARMACIA</t>
  </si>
  <si>
    <t>REALE FARMACIA MONTEBUGNOLI DEL DOTT. ROBERTO VITA</t>
  </si>
  <si>
    <t>13515,00</t>
  </si>
  <si>
    <t>6674,80</t>
  </si>
  <si>
    <t>BERTELLI ALLA FUNIVIA SERVIZI FARMACIA</t>
  </si>
  <si>
    <t>FARMACIA BERTELLI ALLA FUNIVIA  S.R.L.</t>
  </si>
  <si>
    <t>15487,00</t>
  </si>
  <si>
    <t>4373,80</t>
  </si>
  <si>
    <t>ACQUISTO SOTTO-SOGLIA FARMACI</t>
  </si>
  <si>
    <t>3599,70</t>
  </si>
  <si>
    <t>ACQUISTO DISPENSER PER GEL MANI BRAUNOL E LIFOSCRUB</t>
  </si>
  <si>
    <t>733,50</t>
  </si>
  <si>
    <t>Neuromed s.r.l.</t>
  </si>
  <si>
    <t>ACQ. STRUMENTARIO CHIRURGICO OCULISTICO</t>
  </si>
  <si>
    <t>DET.1245/23 ACUISTO DIRETTO SERVICE FARMACOLOGIA D'URGENZA DOSAGGIO FARMACI</t>
  </si>
  <si>
    <t>257900,00</t>
  </si>
  <si>
    <t>Acquisto copertura sterile per protezione Arco C</t>
  </si>
  <si>
    <t>4729,60</t>
  </si>
  <si>
    <t>ACQUISTO DISPOSITVI MEDICI</t>
  </si>
  <si>
    <t>DIALISI</t>
  </si>
  <si>
    <t>3177,00</t>
  </si>
  <si>
    <t>DETE 900/2023 - DISPOSITIVI MEDICI ENDOSCOPIA DIGESTIVA Proroga 2023 BOSTON</t>
  </si>
  <si>
    <t>56080,00</t>
  </si>
  <si>
    <t>22589,70</t>
  </si>
  <si>
    <t>DETE 900/2023 - DISPOSITIVI MEDICI ENDOSCOPIA DIGESTIVA Proroga 2023 BS MEDICAL</t>
  </si>
  <si>
    <t>BS Medical S.r.l.</t>
  </si>
  <si>
    <t>840,00</t>
  </si>
  <si>
    <t>DETE 900/2023 - DISPOSITIVI MEDICI ENDOSCOPIA DIGESTIVA Proroga 2023 COOK</t>
  </si>
  <si>
    <t>5819,95</t>
  </si>
  <si>
    <t>2040,00</t>
  </si>
  <si>
    <t>DETE 900/2023 - DISPOSITIVI MEDICI ENDOSCOPIA DIGESTIVA Proroga 2023 HEALTH DEFENCE</t>
  </si>
  <si>
    <t>H.D. HEALTH DEFENCE S.P.A.</t>
  </si>
  <si>
    <t>DETE 900/2023 - DISPOSITIVI MEDICI ENDOSCOPIA DIGESTIVA Proroga 2023 LORENZATTO</t>
  </si>
  <si>
    <t>2960,00</t>
  </si>
  <si>
    <t>2072,00</t>
  </si>
  <si>
    <t>DETE 900/2023 - DISPOSITIVI MEDICI ENDOSCOPIA DIGESTIVA Proroga 2023 MEDITALIA</t>
  </si>
  <si>
    <t>MEDITALIA SAS IMPORT EXPORT DI SALERNO MAURIZIO</t>
  </si>
  <si>
    <t>10252,10</t>
  </si>
  <si>
    <t>11540,80</t>
  </si>
  <si>
    <t>DETE 900/2023 - DISPOSITIVI MEDICI ENDOSCOPIA DIGESTIVA Proroga 2023 QUATTRO MEDICA</t>
  </si>
  <si>
    <t>6576,00</t>
  </si>
  <si>
    <t>DETE.591/2023 INTERCENTER ADESIONE A CONVENZIONE PER ACQUISIZIONE SERVIZI TRASMISSIONE DATI LOTTO 1 TELEFONIA FISSA SERV. AGGIUNTIVI CERTEGO</t>
  </si>
  <si>
    <t>243750,00</t>
  </si>
  <si>
    <t>77864,58</t>
  </si>
  <si>
    <t>6965,00</t>
  </si>
  <si>
    <t>GRIMALDI SERVIZI FARMACIA</t>
  </si>
  <si>
    <t>FARMACIA GRIMALDI DI FRANZAROLI ANNA</t>
  </si>
  <si>
    <t>20256,00</t>
  </si>
  <si>
    <t>4622,10</t>
  </si>
  <si>
    <t>DI RASTIGNANO SERVIZI FARMACIA</t>
  </si>
  <si>
    <t>FARMACIA DI RASTIGNANO DEI DOTTORI NIZZI MAURO E M</t>
  </si>
  <si>
    <t>9034,00</t>
  </si>
  <si>
    <t>3105,90</t>
  </si>
  <si>
    <t>CALZAVECCHIO SERVIZI FARMACIA</t>
  </si>
  <si>
    <t>FARMACIA CALZAVECCHIO S.N.C. DI GAROFAI LEA E C.</t>
  </si>
  <si>
    <t>8676,00</t>
  </si>
  <si>
    <t>2027,20</t>
  </si>
  <si>
    <t>SANTA LUCIA DELLA CROCE SERVIZI FARMACIA</t>
  </si>
  <si>
    <t>FARMACIA S.LUCIA DELLA CROCE SRL</t>
  </si>
  <si>
    <t>12572,00</t>
  </si>
  <si>
    <t>2461,80</t>
  </si>
  <si>
    <t>SAN BIAGIO CASALECCHIO SERVIZI FARMACIA</t>
  </si>
  <si>
    <t>FARMACIA SAN BIAGIO S.A.S.</t>
  </si>
  <si>
    <t>33205,00</t>
  </si>
  <si>
    <t>7248,39</t>
  </si>
  <si>
    <t>SIEPELUNGA SERVIZI FARMACIA</t>
  </si>
  <si>
    <t>FARMACIA SIEPELUNGA S.R.L.</t>
  </si>
  <si>
    <t>11811,00</t>
  </si>
  <si>
    <t>2754,00</t>
  </si>
  <si>
    <t>LAVINO SERVIZI FARMACIA</t>
  </si>
  <si>
    <t>FARMACIA LAVINO SRL</t>
  </si>
  <si>
    <t>4293,00</t>
  </si>
  <si>
    <t>4711,80</t>
  </si>
  <si>
    <t>MARANO SERVIZI FARMACIA</t>
  </si>
  <si>
    <t>FARMACIA MARANO DELLE D.SSE SILVANA AUGELLO E PIET</t>
  </si>
  <si>
    <t>485,20</t>
  </si>
  <si>
    <t>DEL RENO SERVIZI FARMACIA</t>
  </si>
  <si>
    <t>FARMACIA DEL RENO DELLA DOTT.SSA MAZZONI MANUELA</t>
  </si>
  <si>
    <t>34607,00</t>
  </si>
  <si>
    <t>6780,30</t>
  </si>
  <si>
    <t>LETTINO OLEODINAMICO PER VISITE, ESAMI E TRATTAMENTI</t>
  </si>
  <si>
    <t>3001,35</t>
  </si>
  <si>
    <t>ACQUISTO MATERIALE DI CONSUMO AESCULAP + 20% X VARIAZIONE IVA IN ORDINE CON FATTURA PERVENUTA E DA LIQUIDARE</t>
  </si>
  <si>
    <t>3463,67</t>
  </si>
  <si>
    <t>SMC 2023 MINORI CASI COMPLESSI DGR 1102/2014 ComunitÃ  "Il Giardino dei giganti" Utente S.M.- Open Group Soc. Coop. Sociale Onlus. Periodo dal 09/01/2023 al 31/12/2023</t>
  </si>
  <si>
    <t>25890,00</t>
  </si>
  <si>
    <t>10367,50</t>
  </si>
  <si>
    <t>Oggetto	Acquisto di n.1 lampada frontale per ORL (Amb. Castiglione)</t>
  </si>
  <si>
    <t>PLASTI FOR MOBIL S.A.S. DI NEBULONI ALESSIO CANDID</t>
  </si>
  <si>
    <t>1040,00</t>
  </si>
  <si>
    <t>noleggio sala Piazza Delle Culture</t>
  </si>
  <si>
    <t>COMUNE DI CASALECCHIO DI RENO</t>
  </si>
  <si>
    <t>511,23</t>
  </si>
  <si>
    <t>FORNITURA POLTRONCINE E SEDUTE FISSE URGENTI</t>
  </si>
  <si>
    <t>Moschella Sedute srl</t>
  </si>
  <si>
    <t>1036,00</t>
  </si>
  <si>
    <t>SAN LEOPOLDO SERVIZI FARMACIA</t>
  </si>
  <si>
    <t>FARMACIA SAN LEOPOLDO SNC</t>
  </si>
  <si>
    <t>12520,00</t>
  </si>
  <si>
    <t>2844,40</t>
  </si>
  <si>
    <t>det 827/23 contratto ponte farmaco esclusivo Tecfidera</t>
  </si>
  <si>
    <t>827402,88</t>
  </si>
  <si>
    <t>1054,80</t>
  </si>
  <si>
    <t>5332,60</t>
  </si>
  <si>
    <t>ACQUISTO STRUMENTARIO MICROFRANCE</t>
  </si>
  <si>
    <t>2184,00</t>
  </si>
  <si>
    <t>DET.1402/23 fornitura biennale di Sonde doppler vascolari per uso neurochirurgico</t>
  </si>
  <si>
    <t>234500,00</t>
  </si>
  <si>
    <t>28140,00</t>
  </si>
  <si>
    <t>ABC Farmaceutici S.p.A.</t>
  </si>
  <si>
    <t>2160,03</t>
  </si>
  <si>
    <t>2166,00</t>
  </si>
  <si>
    <t>RINNOVO SERVICE SOTTOVUOTO E A TEMPERATURA CONTROLLATA PER LA CONSERVAZIONE E IL TRASPORTO DEI CAMPIONI CHIRURGICI E LA RIDUZIONE DEL RISCHIO DA ESPOSIZIONE A FORMALINA</t>
  </si>
  <si>
    <t>276974,16</t>
  </si>
  <si>
    <t>3955,31</t>
  </si>
  <si>
    <t>1958,33</t>
  </si>
  <si>
    <t>DETE.990/23 INTERCENTER ADESIONE A CONVENZIONE PER ACQUISIZIONE SERVIZI DI MANUTENZIONE SVILUPPO APPLICATIVO PDTA PCS REUMATOLOGIA</t>
  </si>
  <si>
    <t>107600,00</t>
  </si>
  <si>
    <t>4430,60</t>
  </si>
  <si>
    <t>16512,61</t>
  </si>
  <si>
    <t>41859,90</t>
  </si>
  <si>
    <t>DETE.493/2023 ADESIONE A CONVENZIONE INTERCENTER PER ACQUISIZIONE SERVIZI TRASMISSIONE DATI RETI SISTEMA 118ER, TELEFONIA FISSA TRAFFICO TELEFONICO E NUMERI VERDI</t>
  </si>
  <si>
    <t>11777500,00</t>
  </si>
  <si>
    <t>2067089,01</t>
  </si>
  <si>
    <t>2974,00</t>
  </si>
  <si>
    <t>6066,00</t>
  </si>
  <si>
    <t>5850,00</t>
  </si>
  <si>
    <t>Acquisto consumabili per sterilizzazione listino Esculap AE03 - PI081617-23</t>
  </si>
  <si>
    <t>21759,53</t>
  </si>
  <si>
    <t>ACQUISTO DISPOSITIVI MEDICI PER NEUROLOGIA</t>
  </si>
  <si>
    <t>3529,44</t>
  </si>
  <si>
    <t>Beckman Coulter S.r.l.</t>
  </si>
  <si>
    <t>1661,60</t>
  </si>
  <si>
    <t>Acquisto riscaldatore sanguigno attualmente a noleggio ditta Medival</t>
  </si>
  <si>
    <t>ACQIOSTP DIAGNOSTICI</t>
  </si>
  <si>
    <t>2955,26</t>
  </si>
  <si>
    <t>DET 996/2023 FORNITURA DI N.6 SISTEMI VIDEO-ENDOSCOPICI E MATERIALE DI CONSUMO PER AUSLBO</t>
  </si>
  <si>
    <t>STRYKER ITALIA SRL</t>
  </si>
  <si>
    <t>RTI STRYKER ITALIA SRL-N.B.A. MEDICA SRL</t>
  </si>
  <si>
    <t>N.B.A. MEDICA SRL</t>
  </si>
  <si>
    <t>2285,00</t>
  </si>
  <si>
    <t>Acquisto di n 1 Autoclave da banco per il Poliambualtorio di Ozzano  AUSL di Bologna</t>
  </si>
  <si>
    <t>3480,00</t>
  </si>
  <si>
    <t>convenzione intercent tomografi computerizzati pnrr lotto 1-det.1353 del 23.5.2023</t>
  </si>
  <si>
    <t>344500,00</t>
  </si>
  <si>
    <t>5694,59</t>
  </si>
  <si>
    <t>ACQUISTO STRUMENTARIO SPECIALISTICO</t>
  </si>
  <si>
    <t>8860,00</t>
  </si>
  <si>
    <t>6860,00</t>
  </si>
  <si>
    <t>det. 937/23 Contratto Ponte farmaci sostitutivi del Fattore VIII - AFSTYLA</t>
  </si>
  <si>
    <t>Dete. 639/2023 Contabilizzazione spesa Soc. Lepida S.c.p.a.- (Delibere 113 e 150/2022) Utenze telefoniche 2023</t>
  </si>
  <si>
    <t>35949,56</t>
  </si>
  <si>
    <t>4915,78</t>
  </si>
  <si>
    <t>4212,18</t>
  </si>
  <si>
    <t>DET. 1218 DEL 07/05/2023 AFFIDAMENTO DIRETTO SERVICE TRATTAMENTI DIALITICI HDF MIXED</t>
  </si>
  <si>
    <t>Fresenius Medical Care</t>
  </si>
  <si>
    <t>2596,76</t>
  </si>
  <si>
    <t>5482,63</t>
  </si>
  <si>
    <t>DI VILLANOVA SERVIZI FARMACIA</t>
  </si>
  <si>
    <t>FARMACIA DI VILLANOVA SNC</t>
  </si>
  <si>
    <t>14247,00</t>
  </si>
  <si>
    <t>3949,30</t>
  </si>
  <si>
    <t>MORETTI SERVIZI FARMACIA</t>
  </si>
  <si>
    <t>FARMACIA MORETTI S.A.S</t>
  </si>
  <si>
    <t>34415,00</t>
  </si>
  <si>
    <t>7117,40</t>
  </si>
  <si>
    <t>SERVIZI AUDIO VIDEO E FOTOGRAFICI</t>
  </si>
  <si>
    <t>BE OPEN SRL</t>
  </si>
  <si>
    <t>2500,00</t>
  </si>
  <si>
    <t>Risorse piÃ¹ umane: fra programmazione del fabbisogno e soddisfazione delle persone.</t>
  </si>
  <si>
    <t>KILOWATT SOC.COOP.</t>
  </si>
  <si>
    <t>1042,00</t>
  </si>
  <si>
    <t>Risorse piÃ¹ umane: fra programmazione del fabbisogno e soddisfazione delle persone. FOCUS GROUP</t>
  </si>
  <si>
    <t>ACQUISTO posizionatori proni per sale op.</t>
  </si>
  <si>
    <t>3381,00</t>
  </si>
  <si>
    <t>ACQUISTO KIT PRIMA ACCOGLIENZA PER PAZIENTI RICOVERATI</t>
  </si>
  <si>
    <t>787,50</t>
  </si>
  <si>
    <t>1423,20</t>
  </si>
  <si>
    <t>21610,60</t>
  </si>
  <si>
    <t>KRKA Farmaceutici</t>
  </si>
  <si>
    <t>NUCLEAR LASER MEDICINE SRL</t>
  </si>
  <si>
    <t>39760,00</t>
  </si>
  <si>
    <t>12030,00</t>
  </si>
  <si>
    <t>5185,00</t>
  </si>
  <si>
    <t>DET.263/23 LOTTO 4 ADESIONE Materiale da medicazione classica 4 bis - tamponi, garze, ovatta e bende</t>
  </si>
  <si>
    <t>9928,00</t>
  </si>
  <si>
    <t>2312,64</t>
  </si>
  <si>
    <t>4037,60</t>
  </si>
  <si>
    <t>5809,86</t>
  </si>
  <si>
    <t>5460,15</t>
  </si>
  <si>
    <t>DET.1116 DEL 26/04/2023 CONTRATTO PONTE SERVICE PRODOTTI PER NUTRIZIONE ENTERALE</t>
  </si>
  <si>
    <t>291419,94</t>
  </si>
  <si>
    <t>DPE - CASA S. CHIARA PROGETTI INDIVIDUALIZZATI 2023</t>
  </si>
  <si>
    <t>8712,00</t>
  </si>
  <si>
    <t>Det ....2023 AFFIDAMENTO DIRETTO DM PER TERAPIA ANTALGICA Theras</t>
  </si>
  <si>
    <t>76702,00</t>
  </si>
  <si>
    <t>34620,00</t>
  </si>
  <si>
    <t>Det..../2023 AFFIDAMENTO DIRRETTO DM PER TERAPIA ANTALGICA - AMS Group</t>
  </si>
  <si>
    <t>31248,00</t>
  </si>
  <si>
    <t>12950,00</t>
  </si>
  <si>
    <t>FOSSOLO 2 SERVIZI FARMACIA</t>
  </si>
  <si>
    <t>FARMACIA C.COMM.LE FOSSOLO 2 S.A.S.</t>
  </si>
  <si>
    <t>39243,00</t>
  </si>
  <si>
    <t>9489,60</t>
  </si>
  <si>
    <t>ALBERANI SERVIZI FARMACIA</t>
  </si>
  <si>
    <t>FARMACIA ALBERANI DI.MAZZUCATO EDDA E GIOIA</t>
  </si>
  <si>
    <t>6339,00</t>
  </si>
  <si>
    <t>1710,60</t>
  </si>
  <si>
    <t>BEATA VERGINE SAN LUCA SERVIZI FARMACIA</t>
  </si>
  <si>
    <t>FARMACIA BEATA VERGINE DI SAN LUCA S.R.L.</t>
  </si>
  <si>
    <t>3806,00</t>
  </si>
  <si>
    <t>467,80</t>
  </si>
  <si>
    <t>SAN GIORGIO SERVIZI FARMACIA</t>
  </si>
  <si>
    <t>FARMACIA SAN GIORGIO di Corinaldesi Giovanni e Vol</t>
  </si>
  <si>
    <t>10044,00</t>
  </si>
  <si>
    <t>2387,20</t>
  </si>
  <si>
    <t>Rinnovo di nÂ°39 (trentanove) licenze SW Autocad LT per il periodo dal 24/05/2023 al 23/05/2024 come da capitolato</t>
  </si>
  <si>
    <t>ONE TEAM SRL</t>
  </si>
  <si>
    <t>15873,00</t>
  </si>
  <si>
    <t>SYSTEMA SRL</t>
  </si>
  <si>
    <t>RIVISTE ON LINE E CARTACEE ANNO 2023-DET. 232 DEL 27.1.2023</t>
  </si>
  <si>
    <t>5253,66</t>
  </si>
  <si>
    <t>Acquisto filtri per Laboratorio</t>
  </si>
  <si>
    <t>525,00</t>
  </si>
  <si>
    <t>Noleggio di centrale di monitoraggio e monitor per la Stroke Unit dellâ€™Ospedale Maggiore ad integrazione di sistema esistente</t>
  </si>
  <si>
    <t>37828,00</t>
  </si>
  <si>
    <t>Acquisto di 4 umidificatori per Rianimazione Ospedale Bellaria</t>
  </si>
  <si>
    <t>3973,00</t>
  </si>
  <si>
    <t>ASSISTENZA TECNICA 2023 DITTA TRESCAL</t>
  </si>
  <si>
    <t>TRESCAL MS S.R.L. A SOCIO UNICO</t>
  </si>
  <si>
    <t>462,00</t>
  </si>
  <si>
    <t>2640,83</t>
  </si>
  <si>
    <t>VEQ 2023 PROGRAMMA ACCURATEZZA IN CHIMICA CLINICA -CONTROLLO DI QUALITA'ESTERNA LABORATORIO UNICO METROPOLITANO</t>
  </si>
  <si>
    <t>645,00</t>
  </si>
  <si>
    <t>Acquisizione materiale informatico per Piani attivitÃ  2021-2023 Fondo per Alzheimer e Demenze - RER Area tematica 3 - come da capitolato (PO 847)</t>
  </si>
  <si>
    <t>10992,00</t>
  </si>
  <si>
    <t>manutenzione arredi ed attrezzature Osp Maggiore</t>
  </si>
  <si>
    <t>34150,00</t>
  </si>
  <si>
    <t>18013,00</t>
  </si>
  <si>
    <t>2829,52</t>
  </si>
  <si>
    <t>644,00</t>
  </si>
  <si>
    <t>3300,03</t>
  </si>
  <si>
    <t>6772,00</t>
  </si>
  <si>
    <t>5464,80</t>
  </si>
  <si>
    <t>6078,00</t>
  </si>
  <si>
    <t>SMC 2023 MINORI CASI COMPLESSI DGR 1102/2014 ComunitÃ  "La Rupe" Utente P.G.- Open Group Soc. Coop. Sociale Onlus. Periodo dal 01/01/2023 al 30/09/2023</t>
  </si>
  <si>
    <t>8146,94</t>
  </si>
  <si>
    <t>6244,62</t>
  </si>
  <si>
    <t>ACQUISTO MATERIALE DI CONSUMO APPARECCHIATURE MINDRAY</t>
  </si>
  <si>
    <t>19930,10</t>
  </si>
  <si>
    <t>1636,63</t>
  </si>
  <si>
    <t>ACQUISTO DISPÃ¨OSITIVI MEDICI</t>
  </si>
  <si>
    <t>23051,80</t>
  </si>
  <si>
    <t>VENTURI SERVIZI FARMACIA</t>
  </si>
  <si>
    <t>FARMACIA VENTURI SNC</t>
  </si>
  <si>
    <t>35125,00</t>
  </si>
  <si>
    <t>8526,80</t>
  </si>
  <si>
    <t>IRNERIO SERVIZI FARMACIA</t>
  </si>
  <si>
    <t>FARMACIA IRNERIO DEI DOTTORI LEGNANI  S.N.C.</t>
  </si>
  <si>
    <t>13103,00</t>
  </si>
  <si>
    <t>2419,60</t>
  </si>
  <si>
    <t>IPPODROMO ARCOVEGGIO SERVIZI FARMACIA</t>
  </si>
  <si>
    <t>FARMACIA IPPODROMO ARCOVEGGIO</t>
  </si>
  <si>
    <t>23581,00</t>
  </si>
  <si>
    <t>4747,50</t>
  </si>
  <si>
    <t>DI CERETOLO SERVIZI FARMACIA</t>
  </si>
  <si>
    <t>FARMACIA DI CERETOLO  DI FIORETTI E C. S.A.S</t>
  </si>
  <si>
    <t>13645,00</t>
  </si>
  <si>
    <t>3056,40</t>
  </si>
  <si>
    <t>5972,26</t>
  </si>
  <si>
    <t>ACQUISTO DISPENSER PER GEL MANI OZOCIDINA</t>
  </si>
  <si>
    <t>5767,85</t>
  </si>
  <si>
    <t>DI CRESPELLANO SERVIZI FARMACIA</t>
  </si>
  <si>
    <t>FARMACIA  DI CRESPELLANO S.A.S.</t>
  </si>
  <si>
    <t>34256,00</t>
  </si>
  <si>
    <t>7449,90</t>
  </si>
  <si>
    <t>5474,89</t>
  </si>
  <si>
    <t>PHARMAELLE SRL</t>
  </si>
  <si>
    <t>3172,70</t>
  </si>
  <si>
    <t>MONTEVEGLIO SERVIZI FARMACIA</t>
  </si>
  <si>
    <t>FARMACIA DI MONTEVEGLIO S.A.S.</t>
  </si>
  <si>
    <t>37389,00</t>
  </si>
  <si>
    <t>SERVIZIO DI TRASPORTO FUNEBRE SALME DONATORI DI ORGANI</t>
  </si>
  <si>
    <t>1162,00</t>
  </si>
  <si>
    <t>det 1431/23 adesione intercenter vaccino pneumococcico Vaxneuvance</t>
  </si>
  <si>
    <t>900550,00</t>
  </si>
  <si>
    <t>145250,00</t>
  </si>
  <si>
    <t>ACQUISTO SOLUZIONE REMOVE 237 ML</t>
  </si>
  <si>
    <t>2588,40</t>
  </si>
  <si>
    <t>449,40</t>
  </si>
  <si>
    <t>Acquisto di n 1 Termosaldatrice rotativa per le esigenze del Blocco Operatorio Ospedale di Bentivoglio + 4 in ozpione</t>
  </si>
  <si>
    <t>A.T.H. ATTREZZATURE OSPEDALIERE</t>
  </si>
  <si>
    <t>10960,00</t>
  </si>
  <si>
    <t>AZIENDA FARMACEUTICA ITALIANA</t>
  </si>
  <si>
    <t>DETE.743/2023 INTERCENTER ADESIONE A CONVENZIONE SERVIZI MANUTENZIONE E ASSISTENZA SW 4WARD S.R.L.</t>
  </si>
  <si>
    <t>4WARD S.R.L.</t>
  </si>
  <si>
    <t>67393,75</t>
  </si>
  <si>
    <t>AttivitÃ  Sperimentale Teatro del Pratello ATSM Carcere BO</t>
  </si>
  <si>
    <t>TEATRO DEL PRATELLO SOC COOPERATIVA SOCIALE</t>
  </si>
  <si>
    <t>4226,03</t>
  </si>
  <si>
    <t>DET.1011/23 RINNOVO DORNITURA IN SERVICE PER ESECUZIONE DI TEST ANTIGENICI SARS COV 2 AUSL BO IOR</t>
  </si>
  <si>
    <t>20750,00</t>
  </si>
  <si>
    <t>CARLO BIANCHI SRL</t>
  </si>
  <si>
    <t>5604,00</t>
  </si>
  <si>
    <t>DET.263/23 LOTTO 12 ADESIONE Materiale da medicazione classica 4 bis - tamponi, garze, ovatta e bende.</t>
  </si>
  <si>
    <t>CO.DI.SAN. S.p.A.</t>
  </si>
  <si>
    <t>1208,00</t>
  </si>
  <si>
    <t>386,00</t>
  </si>
  <si>
    <t>DET.263/23 LOTTO 6 ADESIONE Materiale da medicazione classica 4 bis - tamponi, garze, ovatta e bende</t>
  </si>
  <si>
    <t>55400,00</t>
  </si>
  <si>
    <t>2115,00</t>
  </si>
  <si>
    <t>MATERIALE DI CONSUMO PER LASER A LUCE VERDE PER TRATTAMENTO PATOLOGIE VITRO RETINICHE</t>
  </si>
  <si>
    <t>14400,00</t>
  </si>
  <si>
    <t>SERVIZIO DI RILEVAZIONE GAS RADON</t>
  </si>
  <si>
    <t>TECNO RAD S.R.L.</t>
  </si>
  <si>
    <t>ANTICA DEI SERVI COM. SAN BENEDETTO QUERCETO SERVIZI FARMACIA</t>
  </si>
  <si>
    <t>ANTICA  FARMACIA DEI  SERVI SNC</t>
  </si>
  <si>
    <t>22013,00</t>
  </si>
  <si>
    <t>5819,40</t>
  </si>
  <si>
    <t>DI CALDERARA SERVIZI FARMACIA</t>
  </si>
  <si>
    <t>FARMACIA DI CALDERARA DELLA DOTT.SSA MATTIOLI OVIG</t>
  </si>
  <si>
    <t>65394,00</t>
  </si>
  <si>
    <t>15428,90</t>
  </si>
  <si>
    <t>DEL TREBBO SERVIZI FARMACIA</t>
  </si>
  <si>
    <t>FARMACIA DEL TREBBO</t>
  </si>
  <si>
    <t>19793,00</t>
  </si>
  <si>
    <t>4417,30</t>
  </si>
  <si>
    <t>CIMABUE SERVIZI FARMACIA</t>
  </si>
  <si>
    <t>FARMACIA CIMABUE SNC</t>
  </si>
  <si>
    <t>6862,00</t>
  </si>
  <si>
    <t>1426,20</t>
  </si>
  <si>
    <t>LEVANTE SERVIZI FARMACIA</t>
  </si>
  <si>
    <t>FARMACIA LEVANTE DI ROSITA SANTINI E &amp; C. S.A.S.</t>
  </si>
  <si>
    <t>18651,00</t>
  </si>
  <si>
    <t>3859,60</t>
  </si>
  <si>
    <t>VEDRANA SERVIZI FARMACIA</t>
  </si>
  <si>
    <t>FARMACIA VEDRANA S.N.C. DEI DOTT.RI SCALZONE FRANC</t>
  </si>
  <si>
    <t>4286,00</t>
  </si>
  <si>
    <t>865,00</t>
  </si>
  <si>
    <t>CREVALCORE SERVIZI FARMACIA</t>
  </si>
  <si>
    <t>FARMACIA CREVALCORE S.N.C. DEL DOTTORE ASCIONE GIO</t>
  </si>
  <si>
    <t>307001,00</t>
  </si>
  <si>
    <t>6578,10</t>
  </si>
  <si>
    <t>AL VELODROMO SERVIZI FARMACIA</t>
  </si>
  <si>
    <t>FARMACIA AL VELODROMO S.N.C.</t>
  </si>
  <si>
    <t>13732,00</t>
  </si>
  <si>
    <t>3236,20</t>
  </si>
  <si>
    <t>DA PORTA SARAGOZZA SERVIZI FARMACIA</t>
  </si>
  <si>
    <t>FARMACIA DA P.TA SARAGOZZA DI MONTI EUGENIA</t>
  </si>
  <si>
    <t>8167,00</t>
  </si>
  <si>
    <t>1894,40</t>
  </si>
  <si>
    <t>DEL NAVILE SERVIZIO FARMACIA</t>
  </si>
  <si>
    <t>FARMACIA DEL NAVILE SNC</t>
  </si>
  <si>
    <t>18791,00</t>
  </si>
  <si>
    <t>3699,00</t>
  </si>
  <si>
    <t>BARBOLINI SERVIZI FARMACIA</t>
  </si>
  <si>
    <t>FARMACIA BARBOLINI  S.N.C.</t>
  </si>
  <si>
    <t>35273,00</t>
  </si>
  <si>
    <t>8455,40</t>
  </si>
  <si>
    <t>SAN PIETRO SERVIZI FARMACIA</t>
  </si>
  <si>
    <t>FARMACIA SAN PIETRO S.N.C</t>
  </si>
  <si>
    <t>27774,00</t>
  </si>
  <si>
    <t>7096,40</t>
  </si>
  <si>
    <t>TINTORI SERVIZI FARMACIA</t>
  </si>
  <si>
    <t>FARMACIA TINTORI SNC</t>
  </si>
  <si>
    <t>7431,00</t>
  </si>
  <si>
    <t>1614,80</t>
  </si>
  <si>
    <t>TERRE D'ACQUA SERVIZI FARMACIA</t>
  </si>
  <si>
    <t>FARMACIA TERRE DACQUA SNC</t>
  </si>
  <si>
    <t>33027,00</t>
  </si>
  <si>
    <t>6738,40</t>
  </si>
  <si>
    <t>ACQUISTO SOTTOSOGLIA</t>
  </si>
  <si>
    <t>4951,84</t>
  </si>
  <si>
    <t>3776,76</t>
  </si>
  <si>
    <t>Acquisto di n 12 Stabilizzatore verticalizzatore elettrico per le esigenze della AUSL di Bologna</t>
  </si>
  <si>
    <t>21945,60</t>
  </si>
  <si>
    <t>Acquisto di n 3 Obiettivi per microscopio per Anatomia Patologica Ospedale Maggiore di Bologna</t>
  </si>
  <si>
    <t xml:space="preserve">BALSAMO STRUMENTI </t>
  </si>
  <si>
    <t>CONVENZIONE INTERCENT-TOMOGRAFI COMPUTERIZZATI LOTTO 1-DET. 1353 DEL 23.5.2023</t>
  </si>
  <si>
    <t>352000,00</t>
  </si>
  <si>
    <t>NOLEGGIO EROGATORI ALLACCIATI ALLA RETE IDRICA A COLONNINA, ACQUISTO ACQUA IN BOCCIONI E MANUTEZIONI A EROGATORI DI PROPRIETA' AUSL</t>
  </si>
  <si>
    <t>Acquaviva Srl</t>
  </si>
  <si>
    <t>18332,20</t>
  </si>
  <si>
    <t>191,63</t>
  </si>
  <si>
    <t>2722,87</t>
  </si>
  <si>
    <t>ALLERGY THERAPEUTICS ITALIA S.R.L.</t>
  </si>
  <si>
    <t>2772,00</t>
  </si>
  <si>
    <t>5543,70</t>
  </si>
  <si>
    <t>LAGITRE SRL</t>
  </si>
  <si>
    <t>2859,50</t>
  </si>
  <si>
    <t>CONVENZIONE CONSIP " STAMPANTE 19 "-LOTTO 2-DET,1166 DEL 2.5.2023</t>
  </si>
  <si>
    <t>3587,50</t>
  </si>
  <si>
    <t>CONTRATTO DI SERVIZIO TRA L'AUSL DI BOLOGNA DSM-DP E LA COOPERATIVA SOCIALE ASSCOOP DI BOLOGNA PER LA FORNITURA DI INTERVENTI TERAPEUTICO RIABILITATIVI IN REGIME RESIDENZIALE PRESSO LA RESIDENZA PSICHIATRICA ACCREDITATA "GAIBOLA"</t>
  </si>
  <si>
    <t>481635,00</t>
  </si>
  <si>
    <t>132939,60</t>
  </si>
  <si>
    <t>STADIO SERVIZI FARMACIA</t>
  </si>
  <si>
    <t>FARMACIA STADIO DEI DOT.RI SPERTI E  LEONELLI SNC</t>
  </si>
  <si>
    <t>20247,00</t>
  </si>
  <si>
    <t>3622,60</t>
  </si>
  <si>
    <t>GHIGI SERVIZI FARMACIA</t>
  </si>
  <si>
    <t>FARMACIA GHIGI SNC</t>
  </si>
  <si>
    <t>40934,00</t>
  </si>
  <si>
    <t>9590,40</t>
  </si>
  <si>
    <t>DETE 1260 2023 FORNITURA ETICHETTE ED ETICHETTE TERMICHE PER ESIGENZE AUSL BO AOU BO IOR AOU FE</t>
  </si>
  <si>
    <t>64,80</t>
  </si>
  <si>
    <t>Acquisto test di penetrazione del vapore per sterilizzatrici - PI138928-23</t>
  </si>
  <si>
    <t>MEDIX ITALIA SRL</t>
  </si>
  <si>
    <t>SPERANZA SERVIZI FARMACIA</t>
  </si>
  <si>
    <t>FARMACIA SPERANZA S.N.C</t>
  </si>
  <si>
    <t>27313,00</t>
  </si>
  <si>
    <t>3309,00</t>
  </si>
  <si>
    <t>SANTA RITA BOLOGNA SERVIZI FARMACIA</t>
  </si>
  <si>
    <t>FARMACIA SANTA RITA-BOLOGNA DI DAL VERME ROSAMARIA</t>
  </si>
  <si>
    <t>32059,00</t>
  </si>
  <si>
    <t>6911,40</t>
  </si>
  <si>
    <t>Servizio di smontaggio non conservativo con smaltimento e trasporto di Acceleratore Lineare in uso presso Azienda Usl di Bologna</t>
  </si>
  <si>
    <t>MITAMBIENTE S.R.L.</t>
  </si>
  <si>
    <t>14000,00</t>
  </si>
  <si>
    <t>E.P. MEDICA SRL</t>
  </si>
  <si>
    <t>186,00</t>
  </si>
  <si>
    <t>ASSISTENZA TECNICA 2023 DITTA VYAIRE</t>
  </si>
  <si>
    <t>VYAIRE SRL</t>
  </si>
  <si>
    <t>2116,00</t>
  </si>
  <si>
    <t>Progetto Liberi Dentro-Eduradio TV 2023</t>
  </si>
  <si>
    <t>INSIGHT APS</t>
  </si>
  <si>
    <t>DETE.591/2023 ADESIONE A CONVENZIONE PER ACQUISIZIONE SERVIZI TRASMISSIONE DATI LOTTO 1 RETI FISSE -SERV. AGGIUNTIVI FORTINET</t>
  </si>
  <si>
    <t>ASSISTENZA TECNICA 2023 DITTA MEDELA</t>
  </si>
  <si>
    <t>272,22</t>
  </si>
  <si>
    <t>DET.1059 DEL 18/04/2023 INCREMENTO FORNITURA DI N. 3 STIMOLATORI NEUROMUSCOLARI PER AUSLBO</t>
  </si>
  <si>
    <t>39140,00</t>
  </si>
  <si>
    <t>ACQUISTO FIBRA LASER MONOUSO</t>
  </si>
  <si>
    <t>Dornier MedTech Italia S.r.l.</t>
  </si>
  <si>
    <t>2550,00</t>
  </si>
  <si>
    <t>DET.1114/2023 FORNITURA A SOMMINISTRAZIONE DURATA 24 MESI SISTEMI DI CONSERVAZIONE A TEMPERATURA CONTROLLATA DI FARMACI/REATTIVI</t>
  </si>
  <si>
    <t>60300,00</t>
  </si>
  <si>
    <t>MONTANARI SERVIZI FARMACIA</t>
  </si>
  <si>
    <t>FARMACIA MONTANARI DR.SSA PAOLA</t>
  </si>
  <si>
    <t>17989,00</t>
  </si>
  <si>
    <t>3567,90</t>
  </si>
  <si>
    <t>SANT'ISAIA SERVIZI FARMACIA</t>
  </si>
  <si>
    <t>FARMACIA S.ISAIA DELLE DOTT.SSE LARAIA ANNALISA, G</t>
  </si>
  <si>
    <t>26725,00</t>
  </si>
  <si>
    <t>5658,60</t>
  </si>
  <si>
    <t>ACQUISTO FIBRA LASER PLURIUSO IN ATTESA DI AGGIUDICAZIONE GARA SAAV</t>
  </si>
  <si>
    <t>Acquisto coperte riscaldamento- PI138419-23</t>
  </si>
  <si>
    <t>39995,00</t>
  </si>
  <si>
    <t>18050,00</t>
  </si>
  <si>
    <t>NUOVA DI OZZANO SERVIZI FARMACIA</t>
  </si>
  <si>
    <t>FARMACIA NUOVA</t>
  </si>
  <si>
    <t>29897,00</t>
  </si>
  <si>
    <t>6564,60</t>
  </si>
  <si>
    <t>MONTE DI SAN PIETRO SERVIZI FARMACIA</t>
  </si>
  <si>
    <t>FARMACIA DI MONTE S.PIETRO</t>
  </si>
  <si>
    <t>41541,00</t>
  </si>
  <si>
    <t>9368,40</t>
  </si>
  <si>
    <t>ANGELINI SERVIZI FARMACIA</t>
  </si>
  <si>
    <t>FARMACIA ANGELINI DR. STEFANO</t>
  </si>
  <si>
    <t>36203,00</t>
  </si>
  <si>
    <t>8276,30</t>
  </si>
  <si>
    <t>MARCHESI GUIDO ANTONIO</t>
  </si>
  <si>
    <t>37870,00</t>
  </si>
  <si>
    <t>8855,00</t>
  </si>
  <si>
    <t>DEL PORTO SERVIZI FARMACIA</t>
  </si>
  <si>
    <t>FARMACIA DEL PORTO</t>
  </si>
  <si>
    <t>25912,00</t>
  </si>
  <si>
    <t>5576,30</t>
  </si>
  <si>
    <t>ERCOLANI SERVIZI FARMACIE</t>
  </si>
  <si>
    <t>FARMACIA ERCOLANI DI PAGLIARINI E C S.N.C.</t>
  </si>
  <si>
    <t>23392,00</t>
  </si>
  <si>
    <t>4897,40</t>
  </si>
  <si>
    <t>SAN DOMENICO SERVIZI FARMACIA</t>
  </si>
  <si>
    <t>FARMACIA SAN DOMENICO DELLA DOTT.SSA BARBANTI SILV</t>
  </si>
  <si>
    <t>951,00</t>
  </si>
  <si>
    <t>DI PORTA SAN VITALE SERVIZI FARMACIA</t>
  </si>
  <si>
    <t>FARMACIA DI PORTA SAN VITALE DELLE DOTT.SSE AJUTI</t>
  </si>
  <si>
    <t>11891,00</t>
  </si>
  <si>
    <t>DELLA STAZIONE CENTRALE SERVIZI FARMACIA</t>
  </si>
  <si>
    <t>FARMACIA DELLA STAZIONE CENTRALE S.N.C.</t>
  </si>
  <si>
    <t>7253,00</t>
  </si>
  <si>
    <t>DET. N. 1280DEL 15.05.2023 PA FORNITURA DI UN SISTEMA PIANI TRATTAMENTO TPS PER RADIOTERAPIA AUSLBO</t>
  </si>
  <si>
    <t>249900,00</t>
  </si>
  <si>
    <t>PUBBLICAZIONE ARTICOLO SCIENTIFICO DI MICROBIOLOGIA DA PARTE LABORATORIO UNICO METROPOLITANO  - FONDI PM 04-FORMAZIONE LUM</t>
  </si>
  <si>
    <t>JONA - S.R.L.</t>
  </si>
  <si>
    <t>Rinnovo di licenze SW per Dip. Tecnico - RDO Intercent-ER PI130377-23 - Rinnovo licenze AUTODESK per il periodo dal 01/06/2023 al 31/05/2024 come da capitolato</t>
  </si>
  <si>
    <t>NEGRONI KEY ENGINEERING S.R.L.</t>
  </si>
  <si>
    <t>25656,03</t>
  </si>
  <si>
    <t>RDO Intercent-ER  PI128867-23 - Sostituzione di totem e monitor nel sistema di gestione delle attese Solari dellâ€™Azienda USL di Bologna- come da capitolato</t>
  </si>
  <si>
    <t>SOLARI DI UDINE SPA</t>
  </si>
  <si>
    <t>38945,00</t>
  </si>
  <si>
    <t>RDO Intercent-ER - PI140131-23 - Servizio di aggiornamento, manutenzione, assistenza ed Helpdesk del portale WEB â€œDispositivi Mediciâ€ come da capitolato</t>
  </si>
  <si>
    <t>7460,00</t>
  </si>
  <si>
    <t>1960,00</t>
  </si>
  <si>
    <t>1244,50</t>
  </si>
  <si>
    <t>ACQUISTO GEL CONDUTTORE</t>
  </si>
  <si>
    <t>975,60</t>
  </si>
  <si>
    <t>ACQUISTO SONDE TRANSCLERALI</t>
  </si>
  <si>
    <t>ASSISTENZA TECNICA 2023 DITTA SPARK BIO</t>
  </si>
  <si>
    <t>SPARK SRL</t>
  </si>
  <si>
    <t>6845,05</t>
  </si>
  <si>
    <t>5298,36</t>
  </si>
  <si>
    <t>DET.1199/23 PROROGA TECNICA SERVICE SISTEMI ESAME URINE</t>
  </si>
  <si>
    <t>200133,36</t>
  </si>
  <si>
    <t>52668,16</t>
  </si>
  <si>
    <t>FORNITURA ARMADI MEDICINALI</t>
  </si>
  <si>
    <t>993,50</t>
  </si>
  <si>
    <t>ACQUISTO TUTE DI PROTEZIONE PER AMBIENTI A CONTAMINAZIONECON TROLLATA</t>
  </si>
  <si>
    <t>I.S.A. COMPAGNIA ITALIANA</t>
  </si>
  <si>
    <t>ACQUISTO TEST PSICODIAGNOSTICI RAFFAELLO CORTINA EDITORE</t>
  </si>
  <si>
    <t>RAFFAELLO CORTINA EDITORE</t>
  </si>
  <si>
    <t>Sigma-Aldrich Chemie GmbH</t>
  </si>
  <si>
    <t>5122,30</t>
  </si>
  <si>
    <t>ACQUISTO CONSUMABILI DEDICATI VIDEOLARINGOSCOPIO INSIGHTERS</t>
  </si>
  <si>
    <t>480,00</t>
  </si>
  <si>
    <t>Acquisto ecografo palmare per mezzo di soccorso PS Bentivoglio</t>
  </si>
  <si>
    <t>ASSISTENZA TECNICA 2023 DITTA FLEXICARE</t>
  </si>
  <si>
    <t>50,00</t>
  </si>
  <si>
    <t>ASSISTENZA TECNICA 2023 DITTA DI GIOVANNI</t>
  </si>
  <si>
    <t>490,00</t>
  </si>
  <si>
    <t>DET. 1463/2023 CONTRATTO PONTE RELATIVO ALLA FORNITURA DI PER LA FORNITURA DI LOOP RECORDER (DISPOSITIVI IMPIANTABILI), NELLE MORE DELLâ€™ESITO DELLA NUOVA PROCEDURA DI GARA INTERCENTER.</t>
  </si>
  <si>
    <t>20831,80</t>
  </si>
  <si>
    <t>5785,76</t>
  </si>
  <si>
    <t>ACQUISTO SNTISETTICI</t>
  </si>
  <si>
    <t>5937,46</t>
  </si>
  <si>
    <t>ACQUISTO ELETTRODI ECG BLUESENSOR - PI127468-23</t>
  </si>
  <si>
    <t>18674,80</t>
  </si>
  <si>
    <t>13599,54</t>
  </si>
  <si>
    <t>CICOGNA SERVIZI FARMACIA</t>
  </si>
  <si>
    <t>FARMACIA DELLA CICOGNA</t>
  </si>
  <si>
    <t>74309,00</t>
  </si>
  <si>
    <t>17576,80</t>
  </si>
  <si>
    <t>ASSISTENZA TECNICA 2023 DITTA RUNNER</t>
  </si>
  <si>
    <t>RUNNER SRL</t>
  </si>
  <si>
    <t>ASSISTENZA TECNICA 2023 DITTA LNI SWISSGAS</t>
  </si>
  <si>
    <t>LNI SWISSGASS SRL</t>
  </si>
  <si>
    <t>1451,00</t>
  </si>
  <si>
    <t>DEL CORSO SERVIZI FARMACIA</t>
  </si>
  <si>
    <t>FARMACIA DEL CORSO</t>
  </si>
  <si>
    <t>9472,00</t>
  </si>
  <si>
    <t>2053,80</t>
  </si>
  <si>
    <t>1030,00</t>
  </si>
  <si>
    <t>PARCO NORD SERVIZI FARMACIA</t>
  </si>
  <si>
    <t>FARMACIA PARCO NORD S.A.S.</t>
  </si>
  <si>
    <t>14585,00</t>
  </si>
  <si>
    <t>3568,80</t>
  </si>
  <si>
    <t>GUARIENTO SERVIZI FARMACIA</t>
  </si>
  <si>
    <t>FARMACIA GUARIENTO  S.N.C.</t>
  </si>
  <si>
    <t>45834,00</t>
  </si>
  <si>
    <t>9901,00</t>
  </si>
  <si>
    <t>SORACE MARESCA LE PIAZZE SERVIZI FARMACIA</t>
  </si>
  <si>
    <t>FARMACIA SORACE MARESCA LE PIAZZE S.R.L.</t>
  </si>
  <si>
    <t>20519,00</t>
  </si>
  <si>
    <t>3951,80</t>
  </si>
  <si>
    <t>OSTI SERVIZI FARMACIA</t>
  </si>
  <si>
    <t>FARMACIA OSTI</t>
  </si>
  <si>
    <t>26160,00</t>
  </si>
  <si>
    <t>5113,00</t>
  </si>
  <si>
    <t>38225,00</t>
  </si>
  <si>
    <t>17154,00</t>
  </si>
  <si>
    <t>SAN GIUSEPPE SERVIZI FARMACIA</t>
  </si>
  <si>
    <t>FARMACIA SAN GIUSEPPE DI  PALAZZOLI S.A.S.</t>
  </si>
  <si>
    <t>12579,00</t>
  </si>
  <si>
    <t>2099,00</t>
  </si>
  <si>
    <t>DETE 1216 2023 FORNITURA DI MATERIALE DI CANCELLERIA PER CENTRI STAMPA AUSL BO AOU BO E IOR</t>
  </si>
  <si>
    <t>AUGUSTO BERNI SPA</t>
  </si>
  <si>
    <t>7315,10</t>
  </si>
  <si>
    <t>1882,00</t>
  </si>
  <si>
    <t>Acquisizione nÂ°2 (due) stampante a colori HP Color Laserjet Pro M454dn e cavetteria varia</t>
  </si>
  <si>
    <t>RDO Intercent-ER PI139610-23 - Acquisizione servizi di manutenzione biennale sulle licenze Qlikview presenti in Azienda come da capitolato</t>
  </si>
  <si>
    <t>GPI S.p.A.</t>
  </si>
  <si>
    <t>16756,00</t>
  </si>
  <si>
    <t>4189,00</t>
  </si>
  <si>
    <t>Protezione per strumenti robotici</t>
  </si>
  <si>
    <t>Acquisto dispositivi per aspirazione fumi chirurgici C/EC. 1001300101</t>
  </si>
  <si>
    <t>ORESTE GOLFIERI SRL</t>
  </si>
  <si>
    <t>5718,00</t>
  </si>
  <si>
    <t>ASSISTENZA TECNICA 2023 DITTA MEDICA VALEGGIA</t>
  </si>
  <si>
    <t>509,00</t>
  </si>
  <si>
    <t>Acquisto Buste/Contenitori</t>
  </si>
  <si>
    <t>555,00</t>
  </si>
  <si>
    <t>SMC MINORI CASI COMPLESSI DGR 1102/2014 ComunitÃ  "Oikos" Utente B.C. - Consorzio Ceis. Periodo dal 01/01/2023 al 31/12/2023</t>
  </si>
  <si>
    <t>CONSORZIO GRUPPO CEIS COOPERATIVA SOCIALE</t>
  </si>
  <si>
    <t>22620,00</t>
  </si>
  <si>
    <t>9355,96</t>
  </si>
  <si>
    <t>DET.946/2023 RINNOVO ANNUALE DELLA FORNITURA DI LIQUIDI DI CONSERVAZIONE E TRASPORTO DELLE CORNEE</t>
  </si>
  <si>
    <t>54395,64</t>
  </si>
  <si>
    <t>SMC 2023 - Fondazione Augusta Pini - ComunitÃ  Via Larga Utente B.G. Periodo dal 01/01/2023 al 31/12/2023</t>
  </si>
  <si>
    <t>FONDAZIONE AUGUSTA PINI ED ISTITUTO DEL BUON PASTO</t>
  </si>
  <si>
    <t>48362,50</t>
  </si>
  <si>
    <t>20017,50</t>
  </si>
  <si>
    <t>SMC 2023 - Fondazione Augusta Pini - ComunitÃ  Via Larga Utente S.E. Periodo dal 01/01/2023 al 31/12/2023</t>
  </si>
  <si>
    <t>ACQUISTO GHIACCIO ISTANTANEO</t>
  </si>
  <si>
    <t>3003,72</t>
  </si>
  <si>
    <t>5378,07</t>
  </si>
  <si>
    <t>ALSACHIM SAS</t>
  </si>
  <si>
    <t>1295,00</t>
  </si>
  <si>
    <t>CASTELLO SERVIZI FARMACIA</t>
  </si>
  <si>
    <t>FARMACIA CASTELLO SRL</t>
  </si>
  <si>
    <t>11781,00</t>
  </si>
  <si>
    <t>2614,60</t>
  </si>
  <si>
    <t>PIAN DI MACINA SERVIZI FARMACIA</t>
  </si>
  <si>
    <t>FARMACIA PIAN DI MACINA SNC</t>
  </si>
  <si>
    <t>28714,00</t>
  </si>
  <si>
    <t>5972,10</t>
  </si>
  <si>
    <t>acquisto di ELETTRODI PER MONITORAGGIO E STIMOLAZIONE, PIASTRE PER DEFIBRILLATORI ED ELETTRODI NEUTRI PER ELETTROBISTURI. in attesa di rinnovo gara</t>
  </si>
  <si>
    <t>2247,50</t>
  </si>
  <si>
    <t>ACQUISTO PRODOTTO EDITORIALE "FLORENCE" PER CDL IN SCIENZE INFERMIERISTICHE</t>
  </si>
  <si>
    <t>ZANICHELLI EDITORE S.P.A.</t>
  </si>
  <si>
    <t>1968,00</t>
  </si>
  <si>
    <t>Pubblicazione articolo scientifico Ortopedia- Fondi sperimentazioni SP035</t>
  </si>
  <si>
    <t>ELSEVIER B.V.</t>
  </si>
  <si>
    <t>2280,00</t>
  </si>
  <si>
    <t>REPAIRE EXCHANGE STORZ</t>
  </si>
  <si>
    <t>1086,94</t>
  </si>
  <si>
    <t>2370,36</t>
  </si>
  <si>
    <t>4487,28</t>
  </si>
  <si>
    <t>5442,00</t>
  </si>
  <si>
    <t>5822,64</t>
  </si>
  <si>
    <t>1956,22</t>
  </si>
  <si>
    <t>5270,40</t>
  </si>
  <si>
    <t>COMUNALE VIDICIATICO DIDASKO SERVIZI FARMACIA</t>
  </si>
  <si>
    <t>DIDASKO COOPERATIVA SOCIALE</t>
  </si>
  <si>
    <t>4971,00</t>
  </si>
  <si>
    <t>MONTE SAN GIOVANNI SERVIZI FARMACIA</t>
  </si>
  <si>
    <t>FARMACIA MONTE SAN GIOVANNI S.A.S.</t>
  </si>
  <si>
    <t>21046,00</t>
  </si>
  <si>
    <t>4267,80</t>
  </si>
  <si>
    <t>SANTA RITA MONTERENZIO SERVIZI FARMACIA</t>
  </si>
  <si>
    <t>FARMACIA SANTA RITA</t>
  </si>
  <si>
    <t>36006,00</t>
  </si>
  <si>
    <t>8414,30</t>
  </si>
  <si>
    <t>DEI MILLE SERVIZI FARMACIA</t>
  </si>
  <si>
    <t>FARMACIA DEI MILLE</t>
  </si>
  <si>
    <t>13384,00</t>
  </si>
  <si>
    <t>3599,60</t>
  </si>
  <si>
    <t>DELLA ROCCHETTA SERVIZI FARMACIA</t>
  </si>
  <si>
    <t>FARMACIA DELLA ROCCHETTA DELLA DOTT. MALPASSI M. E</t>
  </si>
  <si>
    <t>29710,00</t>
  </si>
  <si>
    <t>6323,80</t>
  </si>
  <si>
    <t>SAN BIAGIO CASTEL D CASIO SERVIZI FARMACIA</t>
  </si>
  <si>
    <t>FARMACIA SAN BIAGIO DEL DOTT. BUTTELLI STEFANO E C</t>
  </si>
  <si>
    <t>29814,00</t>
  </si>
  <si>
    <t>6720,30</t>
  </si>
  <si>
    <t>DAL CONTAVALLI SERVIZI FARMACIA</t>
  </si>
  <si>
    <t>FARMACIA DAL CONTAVALLI DEL DR. MASSIMO CONCATO E</t>
  </si>
  <si>
    <t>12198,00</t>
  </si>
  <si>
    <t>2870,60</t>
  </si>
  <si>
    <t>AFFIDAMENTO DIRETTO PER LA FRUIZIONE DI UN  SERVIZIO FINALIZZATO ALLA REALIZZAZIONE DI ATTIVITA' ABILITATIVE DI GRUPPO NEI CONFRONTI DI PERSONE CON DISTURBO DELLO SPETTRO AUTISTICO (ASD) - P.O. 812  (CUP E35F21001130001)</t>
  </si>
  <si>
    <t>Scu.ter - Scuola Territorio societÃ  coop sociale</t>
  </si>
  <si>
    <t>STORI SERVIZI FARMACIA</t>
  </si>
  <si>
    <t>FARMACIA STORI S.A.S.</t>
  </si>
  <si>
    <t>31180,00</t>
  </si>
  <si>
    <t>6961,70</t>
  </si>
  <si>
    <t>1554,62</t>
  </si>
  <si>
    <t>DETE. 770/23 AUSLBO- INTERCENTER ADESIONE A CONVENZIONE PER SERVIZI DI MANUTENZIONE E ASSISTENZA SW</t>
  </si>
  <si>
    <t>3369252,43</t>
  </si>
  <si>
    <t>Abbonamento a traffico telefonico con sim Zero: Smart PA Medium - anno 2023</t>
  </si>
  <si>
    <t>VODAFONE OMNITEL N.V.</t>
  </si>
  <si>
    <t>ACQIOSTO PROTESI</t>
  </si>
  <si>
    <t>4751,00</t>
  </si>
  <si>
    <t>ACQUISTO DISPOSITIVI PER ALLATTAMENTO E MASTOSUTTORI</t>
  </si>
  <si>
    <t>39983,50</t>
  </si>
  <si>
    <t>2540,10</t>
  </si>
  <si>
    <t>ACQUISTO TESTI SCIENTIFICI PER RICERCA DITTA ENEA BRIVIO DI SIMONE BRIVIO  PO 788 - ANATOMIA PATOLOGICA OM</t>
  </si>
  <si>
    <t>ENEA BRIVIO DI BRIVIO SIMONE</t>
  </si>
  <si>
    <t>5957,80</t>
  </si>
  <si>
    <t>THERIACA SOCIETA A RESPONSABILITA LIMITATA</t>
  </si>
  <si>
    <t>1217,60</t>
  </si>
  <si>
    <t>Acquisizione software e hardware per Lab. di Proteomica, Metabolomica e Chimica Bioanalitica (Chimica Analitica delle Neuroscienze â€“ Prof. Raffaele Lodi)</t>
  </si>
  <si>
    <t>17776,42</t>
  </si>
  <si>
    <t>ASSISTENZA TECNICA 2023 DITTA GARDHEN BILANCE</t>
  </si>
  <si>
    <t>285,00</t>
  </si>
  <si>
    <t>ASSISTENZA TECNICA 2023 DITTA MEDIGAS</t>
  </si>
  <si>
    <t>819,46</t>
  </si>
  <si>
    <t>5996,10</t>
  </si>
  <si>
    <t>CONVENZIONE INTERCENT-NOLEGGIO FOTOCOPIATRICI 7-DET. 3369 DEL 28.12.2022</t>
  </si>
  <si>
    <t>143490,00</t>
  </si>
  <si>
    <t>2416,95</t>
  </si>
  <si>
    <t>2649,50</t>
  </si>
  <si>
    <t>6529,38</t>
  </si>
  <si>
    <t>ADESIONE ALLA CONVENZIONE INTERCENT-ER "SERVIZI POSTALI" - LOTTO 1 "SERVIZI DI RECAPITO" PER AUSL BO. DET. N. 455 DEL 20/02/2023</t>
  </si>
  <si>
    <t>842633,32</t>
  </si>
  <si>
    <t>SERVIZI POSTALI PROPEDEUTICI ED INTEGRATIVI AI SERVIZI DI POSTALIZZAZIONE DI CUI AL LOTTO 1 DELLA CONVENZIONE INTERCENT-ER "SERVIZI POSTALI 2" AUSL BO - DET. N. 455 DEL 20/02/2023</t>
  </si>
  <si>
    <t>DET. 932/2023 Fornitura triennale di braccialetti identificativi pazienti Ausl Bo</t>
  </si>
  <si>
    <t>20368,50</t>
  </si>
  <si>
    <t>Procedura negoziata, ai sensi art. 63 c. 3) lett. b) D.LGS 50/2016 per fornitura piastre eutettiche e serigrafie per contenitori trasporto organi, tessuti e cellule Ausl Bo - Det. n. 1165 del 02/05/2023</t>
  </si>
  <si>
    <t>55793,84</t>
  </si>
  <si>
    <t>PALTRINIERI SERVIZI FARMACIA</t>
  </si>
  <si>
    <t>FARMACIA PALTRINIERI</t>
  </si>
  <si>
    <t>19073,00</t>
  </si>
  <si>
    <t>3704,70</t>
  </si>
  <si>
    <t>3566,12</t>
  </si>
  <si>
    <t>ACQUISTO STRUMENTARIO IN ESCLUSIVA</t>
  </si>
  <si>
    <t>310,88</t>
  </si>
  <si>
    <t>KERNA ITALIA S.R.L.</t>
  </si>
  <si>
    <t>843,60</t>
  </si>
  <si>
    <t>DET. N.1395/2023 ADESIONE INTERCENTER SERVICE DISPOSITIVI A ULTRASUONI DITTA JOHNSON&amp;JOHNSON</t>
  </si>
  <si>
    <t>79994,00</t>
  </si>
  <si>
    <t>29187,00</t>
  </si>
  <si>
    <t>5979,76</t>
  </si>
  <si>
    <t>SERVIZIO DI CONSULENZA ADR</t>
  </si>
  <si>
    <t>DALL'OLIO DINO</t>
  </si>
  <si>
    <t>DET.828/2023 RINNOVO ANNUALE suturatrici meccaniche endoscopiche motorizzate e relative ricariche vascolari</t>
  </si>
  <si>
    <t>22032,00</t>
  </si>
  <si>
    <t>DETE 900/2023 - DISPOSITIVI MEDICI ENDOSCOPIA DIGESTIVA Proroga 2023 ARS CHIRURGICA</t>
  </si>
  <si>
    <t>41975,20</t>
  </si>
  <si>
    <t>16870,51</t>
  </si>
  <si>
    <t>Pubblicazione articolo scientifico Ortopedia Ospedale Maggiore  -utilizzo fondi sperimentazioni Ortopedia OM-SP035</t>
  </si>
  <si>
    <t>BIOMED CENTRAL LIMITED</t>
  </si>
  <si>
    <t>2445,00</t>
  </si>
  <si>
    <t>ACQUISTO CARTUCCE PER BRACCIALI IDENTIFICATIVI PAZIENTI</t>
  </si>
  <si>
    <t>4872,00</t>
  </si>
  <si>
    <t>4614,00</t>
  </si>
  <si>
    <t>2775,21</t>
  </si>
  <si>
    <t>5109,50</t>
  </si>
  <si>
    <t>6300,00</t>
  </si>
  <si>
    <t>A.D.A.  Srl</t>
  </si>
  <si>
    <t>4680,00</t>
  </si>
  <si>
    <t>ASSISTENZA TECNICA 2023 DITTA VWR INTERNATIONAL</t>
  </si>
  <si>
    <t>SAN MICHELE ARGELATO SERVIZI FARMACIA</t>
  </si>
  <si>
    <t>FARMACIA S. MICHELE SNC</t>
  </si>
  <si>
    <t>29993,00</t>
  </si>
  <si>
    <t>6509,50</t>
  </si>
  <si>
    <t>SANT'ANTONIO MALALBERGO SERVIZI FARMACIA</t>
  </si>
  <si>
    <t>FARMACIA DI MALALBERGO SNC</t>
  </si>
  <si>
    <t>15010,00</t>
  </si>
  <si>
    <t>3261,20</t>
  </si>
  <si>
    <t>15457,50</t>
  </si>
  <si>
    <t>5973,77</t>
  </si>
  <si>
    <t>3870,80</t>
  </si>
  <si>
    <t>BIOSIGMA S.P.A.</t>
  </si>
  <si>
    <t>1680,41</t>
  </si>
  <si>
    <t>Acquisizione nÂ°1 (una) licenza Perpetua SPSS Pro (Codice SILPHPA) come da capitolato</t>
  </si>
  <si>
    <t>Acquisto di n 1 sistema di monitoraggio non invasivo per cardiologia Bentivoglio</t>
  </si>
  <si>
    <t>DET.N. 1395/2023 ADESIONE INTERCENTER SERVICE DISPOSITIVI A ULTRASUONI DITTA APPLIED</t>
  </si>
  <si>
    <t>133776,00</t>
  </si>
  <si>
    <t>28538,88</t>
  </si>
  <si>
    <t>924,00</t>
  </si>
  <si>
    <t>PURLING SRL</t>
  </si>
  <si>
    <t>577,20</t>
  </si>
  <si>
    <t>DETE 1412/23 PROROGA SONDE, TUBI E CATETERI NELLE MORE DI IC - BRAUN</t>
  </si>
  <si>
    <t>2070,00</t>
  </si>
  <si>
    <t>DETE 1412/23 PROROGA SONDE, TUBI E CATETERI NELLE MORE DI IC - BENEFIS</t>
  </si>
  <si>
    <t>24612,00</t>
  </si>
  <si>
    <t>1674,00</t>
  </si>
  <si>
    <t>DETE 1412/23 PROROGA SONDE, TUBI E CATETERI NELLE MORE DI IC - CAM HOSPITAL</t>
  </si>
  <si>
    <t>88125,00</t>
  </si>
  <si>
    <t>DETE 1412/23 PROROGA SONDE, TUBI E CATETERI NELLE MORE DI IC - COLOPLAST</t>
  </si>
  <si>
    <t>20834,25</t>
  </si>
  <si>
    <t>2337,31</t>
  </si>
  <si>
    <t>DETE 1412/23 PROROGA SONDE, TUBI E CATETERI NELLE MORE DI IC - FARMAC ZABBAN</t>
  </si>
  <si>
    <t>592,50</t>
  </si>
  <si>
    <t>49,00</t>
  </si>
  <si>
    <t>DETE 1412/23 PROROGA SONDE, TUBI E CATETERI NELLE MORE DI IC - MEDTRONIC</t>
  </si>
  <si>
    <t>8867,70</t>
  </si>
  <si>
    <t>492,00</t>
  </si>
  <si>
    <t>DETE 1412/23 PROROGA SONDE, TUBI E CATETERI NELLE MORE DI IC - MEHOS</t>
  </si>
  <si>
    <t>1824,60</t>
  </si>
  <si>
    <t>DETE 1412/23 PROROGA SONDE, TUBI E CATETERI NELLE MORE DI IC - WELLSPECT</t>
  </si>
  <si>
    <t>WELLSPECT S.R.L.</t>
  </si>
  <si>
    <t>76100,00</t>
  </si>
  <si>
    <t>2856,60</t>
  </si>
  <si>
    <t>6640,00</t>
  </si>
  <si>
    <t>5944,20</t>
  </si>
  <si>
    <t>6818,63</t>
  </si>
  <si>
    <t>ACQ. PIASTRE PER DEFIBRILLATORI PHILIPS DI PROPRIETA'</t>
  </si>
  <si>
    <t>4683,90</t>
  </si>
  <si>
    <t>6770,00</t>
  </si>
  <si>
    <t>1548,00</t>
  </si>
  <si>
    <t>Accordo con le associazioni delle farmacie per il ritiro dei campioni screening HPV Del. 97/2023</t>
  </si>
  <si>
    <t>AFFIDAMENTO DIRETTO DI UN SERVIZIO FINALIZZATO ALLA PRODUZIONE DI MATERIALE PUBBLICITARIO E DIVULGATIVO NELL'AMBITO DEL PROGETTO "AZIONI A SOSTEGNO PRP AREA DIPENDENZE"</t>
  </si>
  <si>
    <t>3050,00</t>
  </si>
  <si>
    <t>DET, 1974/2022 Acquisto diretto per la fornitura in noleggio di colonne per la diagnostica orl, stroboscopica e deglutologica e relativo sistema di rete per la loro connessione</t>
  </si>
  <si>
    <t>387960,00</t>
  </si>
  <si>
    <t>REALIZZAZIONE ESERCITAZIONI ALL'USO DI DPI INDIVIDUALI ANTICADUTA - PROGETTO OBIETTIVO "DALLA SCUOLA AL LAVORO"</t>
  </si>
  <si>
    <t>8606,56</t>
  </si>
  <si>
    <t>ORDINE MANUTENZIONE ATTREZZATURE STERIS PER AUSLBO-DET. 2571 DEL 20.11.2020</t>
  </si>
  <si>
    <t>208000,00</t>
  </si>
  <si>
    <t>det 1649/2023   adesione intercenter medicinali e radiofarmaci 2023 - 2025 - 2 lotti 146 147 154 160 171</t>
  </si>
  <si>
    <t>40438,80</t>
  </si>
  <si>
    <t>det 1649/2023   adesione intercenter medicinali e radiofarmaci 2023 - 2025 - 2 lotti 101 121</t>
  </si>
  <si>
    <t>677585,68</t>
  </si>
  <si>
    <t>Te Me Na srl</t>
  </si>
  <si>
    <t>5108,00</t>
  </si>
  <si>
    <t>det 1649/2023 adesione intercenter medicinali e radiofarmaci 2023 - 2025 - 2 lotti 24 176 183</t>
  </si>
  <si>
    <t>13863,25</t>
  </si>
  <si>
    <t>det 1649/2023   adesione intercenter medicinali e radiofarmaci 2023 - 2025 - 2 lotto 86</t>
  </si>
  <si>
    <t>1087,55</t>
  </si>
  <si>
    <t>det 1649/2023   adesione intercenter medicinali e radiofarmaci 2023 - 2025 - 2 lotto 88</t>
  </si>
  <si>
    <t>125070,24</t>
  </si>
  <si>
    <t>det 1649/2023   adesione intercenter medicinali e radiofarmaci 2023 - 2025 - 2 lotti 1- 2</t>
  </si>
  <si>
    <t>91991,25</t>
  </si>
  <si>
    <t>det 1649/2023   adesione intercenter medicinali e radiofarmaci 2023 - 2025 - 2 lotto 130</t>
  </si>
  <si>
    <t>PIRAMAL CRITICAL CARE ITALIA S.p.A.</t>
  </si>
  <si>
    <t>9250,00</t>
  </si>
  <si>
    <t>det 1649/2023   adesione intercenter medicinali e radiofarmaci 2023 - 2025 - 2 lotto 118</t>
  </si>
  <si>
    <t>79500,02</t>
  </si>
  <si>
    <t>det 1649/2023   adesione intercenter medicinali e radiofarmaci 2023 - 2025 - 2 lotto 30</t>
  </si>
  <si>
    <t>476867,46</t>
  </si>
  <si>
    <t>det 1649/2023   adesione intercenter medicinali e radiofarmaci 2023 - 2025 - 2 lotto 62</t>
  </si>
  <si>
    <t>134940,00</t>
  </si>
  <si>
    <t>INACQUA CENTRO MEDICO TERMALE SRL</t>
  </si>
  <si>
    <t>FARMACIA SACCHETTI s.a.s. SCREENING COLON RETTO DET. NÂ° 0001767 - ACCORDO DI DURATA TRIENNALE DAL 13/07/2021 FINO AL 14/07/2024</t>
  </si>
  <si>
    <t>RDO per affidamento servizio di rassegna stampa e rassegna audiovideo - Det. n. 1397 del 26/05/2023</t>
  </si>
  <si>
    <t>19800,00</t>
  </si>
  <si>
    <t>RDO "PI204069-23" - "Acquisizione nÂ°1 (uno) Personal Computer Lenovo Thinkpad T16 Gen1 (16â€) come da capitolato</t>
  </si>
  <si>
    <t>1870,00</t>
  </si>
  <si>
    <t>Xservice srl</t>
  </si>
  <si>
    <t>"PI198518-23" - "Acquisizione di fornitura per 24 mesi della piattaforma per il Teleconsulto Lite V3 ref. per il sistema di Telemedicina OM-Imola (Neurologia e Rete Stroke Metropolitana) come da capitolato</t>
  </si>
  <si>
    <t>TELADOC HEALTH INTERNATIONAL S.A.</t>
  </si>
  <si>
    <t>34190,00</t>
  </si>
  <si>
    <t>det 1649/2023   adesione intercenter medicinali e radiofarmaci 2023 - 2025 - 2 lotto 32</t>
  </si>
  <si>
    <t>5050,00</t>
  </si>
  <si>
    <t>DALLA SCUOLA AL LAVORO - LEZIONI IN AULA ANNO SCOLASTICO 2022/2023</t>
  </si>
  <si>
    <t>ASSOCIAZIONE CULTURALE BURATTINGEGNO TEATRO</t>
  </si>
  <si>
    <t>21950,00</t>
  </si>
  <si>
    <t>det 1649/2023   adesione intercenter medicinali e radiofarmaci 2023 - 2025 - 2 lotto 63</t>
  </si>
  <si>
    <t>68662,80</t>
  </si>
  <si>
    <t>det 1649/2023   adesione intercenter medicinali e radiofarmaci 2023 - 2025 - 2 lotti 114 199</t>
  </si>
  <si>
    <t>11111,00</t>
  </si>
  <si>
    <t>3280,00</t>
  </si>
  <si>
    <t>det 1649/2023   adesione intercenter medicinali e radiofarmaci 2023 - 2025 - 2 lotti 188 189</t>
  </si>
  <si>
    <t>8083914,69</t>
  </si>
  <si>
    <t>det 1649/2023   adesione intercenter medicinali e radiofarmaci 2023 - 2025 - 2 lotti 198 201</t>
  </si>
  <si>
    <t>40130,83</t>
  </si>
  <si>
    <t>det 1649/2023   adesione intercenter medicinali e radiofarmaci 2023 - 2025 - 2 lotto 155</t>
  </si>
  <si>
    <t>Ever Pharma Italia srl</t>
  </si>
  <si>
    <t>511717,50</t>
  </si>
  <si>
    <t>DETE. 846/2023 INTERCENTER ADESIONE A CONVENZIONE INTERCENTER PER SERVIZI DI MANUTENZIONE  E ASSISTENZA TECNICA ENGINEERING INGEGNERIA INFORMATICA S.P.A.</t>
  </si>
  <si>
    <t>ENGINEERING INGEGNERIAINFORMATICA SPA</t>
  </si>
  <si>
    <t>3714803,75</t>
  </si>
  <si>
    <t>FARMACIA COMUNAEL DI BARICELLA_ACCORDO ASS FARMACIE RITIRO CAMPIONI SCREENING HPV DEL 97/2023</t>
  </si>
  <si>
    <t>FARMACIA TOSCHI DEL DOTTOR ACHILLE GALLINA TOSCHI</t>
  </si>
  <si>
    <t>ACCORDO ASS FARMACIE PER RITIRO CAMPIONI SCREENNING HPV</t>
  </si>
  <si>
    <t>det 1649/2023   adesione intercenter medicinali e radiofarmaci 2023 - 2025 - 2 lotti 127 151</t>
  </si>
  <si>
    <t>213494,04</t>
  </si>
  <si>
    <t>AUSLBO- Intercenter adesione a convenzione per servizi di manutenzione e assistenza sw Ditta ascom Ums Srl</t>
  </si>
  <si>
    <t>ASCOM UMS srl unipersonale</t>
  </si>
  <si>
    <t>959750,00</t>
  </si>
  <si>
    <t>det 1649/2023   adesione intercenter medicinali e radiofarmaci 2023 - 2025 - 2 lotti 59 100 112 166</t>
  </si>
  <si>
    <t>378485,20</t>
  </si>
  <si>
    <t>ACCORDO ASSOCIANI FARMACIE PER RITIRO CAMPIONI SCREENING HPV DEL 97/2023</t>
  </si>
  <si>
    <t>ACCORDO ASS FARMACIE PER RITIRO CAMPIONI SCREENING HPV DEL 97/2023</t>
  </si>
  <si>
    <t>NOLEGGIO SISTEMA ANTIDECUBITO PEDIATRICO NECESSITA' NON PREVISTA IN GARA INTERCENTER</t>
  </si>
  <si>
    <t>SERVIZIO DI ASSISTENZA FR DELLA CT SIEMENS RADIOLOGIA OSPEDALE DI BAZZANO</t>
  </si>
  <si>
    <t>29200,00</t>
  </si>
  <si>
    <t>3279,00</t>
  </si>
  <si>
    <t>det 1649/2023   adesione intercenter medicinali e radiofarmaci 2023 - 2025 - 2 lotti 10 135 152</t>
  </si>
  <si>
    <t>225726,51</t>
  </si>
  <si>
    <t>det 1649/2023   adesione intercenter medicinali e radiofarmaci 2023 - 2025 - 2 lotto 56</t>
  </si>
  <si>
    <t>EXELTIS ITALIA SRL</t>
  </si>
  <si>
    <t>4833,50</t>
  </si>
  <si>
    <t>det 1649/2023   adesione intercenter medicinali e radiofarmaci 2023 - 2025 - 2 lotto 57</t>
  </si>
  <si>
    <t>102924,63</t>
  </si>
  <si>
    <t>det 1649/2023   adesione intercenter medicinali e radiofarmaci 2023 - 2025 - 2 lotto 18</t>
  </si>
  <si>
    <t>262762,50</t>
  </si>
  <si>
    <t>det 1649/2023 adesione intercenter medicinali e radiofarmaci 2023 - 2025 - 2 lotto 89</t>
  </si>
  <si>
    <t>2197000,00</t>
  </si>
  <si>
    <t>det 1649/2023   adesione intercenter medicinali e radiofarmaci 2023 - 2025 - 2 lotto 205</t>
  </si>
  <si>
    <t>92,50</t>
  </si>
  <si>
    <t>det 1649/2023   adesione intercenter medicinali e radiofarmaci 2023 - 2025 - 2 lotti 123 132</t>
  </si>
  <si>
    <t>61828,96</t>
  </si>
  <si>
    <t>FARMACIA DELLA SCALA s.n.c.</t>
  </si>
  <si>
    <t>FARMACIA CASTIGLIONE DEL DOTT. GOLLINI BUINI GIOR</t>
  </si>
  <si>
    <t>20491,00</t>
  </si>
  <si>
    <t>SERVIZIO DI SANIFICAZIONE COVER LETTI HILL-ROM</t>
  </si>
  <si>
    <t>det 1649/2023   adesione intercenter medicinali e radiofarmaci 2023 - 2025 - 2 lotti 105 117 122 141 192</t>
  </si>
  <si>
    <t>595794,55</t>
  </si>
  <si>
    <t>det 1649/2023   adesione intercenter medicinali e radiofarmaci 2023 - 2025 - 2 lotto 168</t>
  </si>
  <si>
    <t>31876,13</t>
  </si>
  <si>
    <t>det 1649/2023   adesione intercenter medicinali e radiofarmaci 2023 - 2025 - 2 lotto 180</t>
  </si>
  <si>
    <t>161914,58</t>
  </si>
  <si>
    <t>det 1649/2023   adesione intercenter medicinali e radiofarmaci 2023 - 2025 - 2 lotti 46 49 50 51</t>
  </si>
  <si>
    <t>240402,50</t>
  </si>
  <si>
    <t>det 1649/2023   adesione intercenter medicinali e radiofarmaci 2023 - 2025 - 2 lotto 17</t>
  </si>
  <si>
    <t>1856544,13</t>
  </si>
  <si>
    <t>SERVIZIO DI TRASPOTO FUNEBRE SALMA DONATORE DI ORGANI</t>
  </si>
  <si>
    <t>ONORANZE FUNEBRI MALAGUTI PIZZOTTI SRL</t>
  </si>
  <si>
    <t>SERVIZIO MANUTENZIONE LAVAPADELLE EXTRA CONTRATTO</t>
  </si>
  <si>
    <t>Acquisto nÂ°1 (una) licenza software E-TAP 2.3.1 VL first license of the Test of Attentional Performance, version 2.3.1,incl. license dongle, user manual and USB response keys</t>
  </si>
  <si>
    <t>PSYTEST</t>
  </si>
  <si>
    <t>1113,99</t>
  </si>
  <si>
    <t>Acquisto di n.1 Sonda ecografica PVT-475BT per la Radiologia dell'Ospedale di Vergato - AUSL di Bologna</t>
  </si>
  <si>
    <t>TOSHIBA MEDICAL SYSTEMS S.R.L.</t>
  </si>
  <si>
    <t>5719,23</t>
  </si>
  <si>
    <t>DPE - ARCHE ARCOBALENO - GAP - 01/06/2023-31/12/2024</t>
  </si>
  <si>
    <t>L'ARCHE - COMUNITA' L'ARCOBALENO - IMPRESA SOCIALE</t>
  </si>
  <si>
    <t>250000,00</t>
  </si>
  <si>
    <t>10710,80</t>
  </si>
  <si>
    <t>ACCORDO ASS FARMACIE PER RITIRO CAMPIONI SCRFEENING HPV DEL 97/2023</t>
  </si>
  <si>
    <t>MANUTENZIONE ATTREZZATURE ZIEHM PER AUSLBO, AOUBO E IOR-DETERMINA N.1901 DEL 26.7.2023</t>
  </si>
  <si>
    <t>76889,00</t>
  </si>
  <si>
    <t>AEROPORTO SERVIZI FARMACIA</t>
  </si>
  <si>
    <t>FARMACIA AEROPORTO DELLA DR.SSA FEDERICA DI RIENZO</t>
  </si>
  <si>
    <t>CENTRO MEDICO SOTERIA SRL</t>
  </si>
  <si>
    <t>MANUTENZIONE SEQUENZE NUCLEOTIDICHE PER AUSLBO-DET. 1201 4.5.2023</t>
  </si>
  <si>
    <t>3606810,00</t>
  </si>
  <si>
    <t>Accordo con Associazione Farmacie per ritiro campioni Screening HPV - Delibera 97/2023</t>
  </si>
  <si>
    <t>Compenso Stuido notarile per pratica donazione delibera 213 del 21/06/2023</t>
  </si>
  <si>
    <t>LOMBARDO ALBERTO</t>
  </si>
  <si>
    <t>4996,00</t>
  </si>
  <si>
    <t>ACCORDO ASS FARMACIE PER RITIRO CAMPIONI SCREENING HPV DEL 9/72023</t>
  </si>
  <si>
    <t>ACCORDO ASS FARMACIE RITIRO CAMPIONI SCREENING HPV DEL 97/2023</t>
  </si>
  <si>
    <t>det 1649/2023   adesione intercenter medicinali e radiofarmaci 2023 - 2025 - 2 lotti 43 44</t>
  </si>
  <si>
    <t>360990,84</t>
  </si>
  <si>
    <t>det 1649/2023   adesione intercenter medicinali e radiofarmaci 2023 - 2025 - 2 lotti 3 94 107</t>
  </si>
  <si>
    <t>679916,25</t>
  </si>
  <si>
    <t>Retta sig. P.G. PERIODO 01/04/2023-31/07/2023</t>
  </si>
  <si>
    <t>27816,00</t>
  </si>
  <si>
    <t>17290,00</t>
  </si>
  <si>
    <t>det 1649/2023   adesione intercenter medicinali e radiofarmaci 2023 - 2025 - 2 lotto 14</t>
  </si>
  <si>
    <t>DR. FALK PHARMA S.R.L.</t>
  </si>
  <si>
    <t>39864,15</t>
  </si>
  <si>
    <t>det 1649/2023   adesione intercenter medicinali e radiofarmaci 2023 - 2025 - 2 lotto 81</t>
  </si>
  <si>
    <t>51962,16</t>
  </si>
  <si>
    <t>RINNOVO SERVICE SISTEMI DIAGNOSTICA DIFFERENZIALE INFEZIONE TUBERCOLARE LATENTE</t>
  </si>
  <si>
    <t>122500,00</t>
  </si>
  <si>
    <t>ACCOR ASS FARMACIE PER RITIRO CAMPIONI SCREENING HPV DEL 97/2023</t>
  </si>
  <si>
    <t>DPO - Progetto "Sollievo Caregiver" relativo all'apertura di sabati nei CSRD Le Farfalle e Accanto di Cadiai. Periodo: Giugno-Dicembre 2023</t>
  </si>
  <si>
    <t>7260,00</t>
  </si>
  <si>
    <t>VEQ NEQAS OLIGOCLONAL 2023 CONTROLLO DI QUALITA' ESTERNO LABORATORIO UNICO METROPOLITANO - - DITTA CODEX SRL</t>
  </si>
  <si>
    <t>CODEX SAS</t>
  </si>
  <si>
    <t>det 1649/2023  adesione intercenter medicinali e radiofarmaci 2023 - 2025 - 2 lotto 47</t>
  </si>
  <si>
    <t>6870,10</t>
  </si>
  <si>
    <t>FARMACIA CONTEDINI S.N.C.</t>
  </si>
  <si>
    <t>Procedura Aperta telematica per la fornitura , installazione e posa   in noleggio di n. 11 riuniti dentistici necessari allâ€™Azienda USL di Bologna. Durata 60 mesi.</t>
  </si>
  <si>
    <t>245273,80</t>
  </si>
  <si>
    <t>det 1649/2023 adesione intercenter medicinali e radiofarmaci 2023 - 2025 - 2 lotti 115 142</t>
  </si>
  <si>
    <t>62378,49</t>
  </si>
  <si>
    <t>Dotazione della Sala Ragazzi in Castiglione di un sistema monitor che consenta alla platea di seguire da ogni angolazione le presentazioni proiettate dal videoproiettore; Fornitura di impianto di videoproiezione alla Casa Della ComunitÃ  Di Vado</t>
  </si>
  <si>
    <t>BBros srl</t>
  </si>
  <si>
    <t>3180,00</t>
  </si>
  <si>
    <t>det 1649/2023   adesione intercenter medicinali e radiofarmaci 2023 - 2025 - 2 lotto 204</t>
  </si>
  <si>
    <t>318836,36</t>
  </si>
  <si>
    <t>Adesione alla convenzione Intercent-ER "Servizi postali 2" - lotto 3 "servizio di elaborazione, stampa, imbustamento di invii da flusso" per Ausl di Bo - Det. n. 455 del 20/02/2023</t>
  </si>
  <si>
    <t>Imbalplast srl</t>
  </si>
  <si>
    <t>RTI So.sel Business Communications, Imbalplast, Leaderform, PRT</t>
  </si>
  <si>
    <t>LEADERFORM S.P.A.</t>
  </si>
  <si>
    <t>So.sel Business Communications</t>
  </si>
  <si>
    <t>PRT spa</t>
  </si>
  <si>
    <t>95221,75</t>
  </si>
  <si>
    <t>DET 30/2023 â€“ Rinnovo contratto lotto 2) Procedura Aperta PI241681-19 Conclusione di un accordo quadro per la coprogettazione e la cogestione di PTRP con BdS e di Progetti di Attivita di comunita per il DSM-DP</t>
  </si>
  <si>
    <t>C.S.A.P.S.A. COOPERATIVA SOCIALE</t>
  </si>
  <si>
    <t>RTI Rinnovo Budget di salute - Lotto 2</t>
  </si>
  <si>
    <t>LA STRADA DI PIAZZA GRANDE</t>
  </si>
  <si>
    <t>PICTOR SOCIETA' COOPERATIVA SOCIALE IMPRESA SOCIALE</t>
  </si>
  <si>
    <t>194025,00</t>
  </si>
  <si>
    <t>18525,39</t>
  </si>
  <si>
    <t>DET 30/2023 â€“ Rinnovo contratto lotto1) PA PI241681-19 Conclusione di un accordo quadro per la coprogettazione e la cogestione di PTRP con BdS e di Progetti di Attivita di comunita per il DSM-DP</t>
  </si>
  <si>
    <t>NAZARENO SOCIETÃ  COOPERATIVA SOCIALE</t>
  </si>
  <si>
    <t>RTI Indaco, Nazareno, Cadiai, Eta Beta, Arti e Mestieri, Pictor, Agriverde</t>
  </si>
  <si>
    <t>ARTI E MESTIERI SOCIETÃ  COOPERATIVA SOCIALE</t>
  </si>
  <si>
    <t>AGRIVERDE SOC. COOP. SOCIALE A R.L.</t>
  </si>
  <si>
    <t>AGRIVERDE S.C. SOCIALE A R.L.</t>
  </si>
  <si>
    <t>3820800,00</t>
  </si>
  <si>
    <t>601626,53</t>
  </si>
  <si>
    <t>Det. n. 896/2023 - Rinnovo PA PI 298359-19 - Servizio gestione attivitÃ  abilitative e psicoeducative per utenti con disturbi dello spettro autistico in tutte le etÃ  della vita e in tutte le fasi del percorso diagnostico-terapeutico AUSL BO</t>
  </si>
  <si>
    <t>ASSOCIAZIONE ITALIANA ASSISTENZA SPASTICI PROVINCIA DI BOLOGNA ONLUS</t>
  </si>
  <si>
    <t>RTI SCUTER - AIAS</t>
  </si>
  <si>
    <t>Associazione italiana Assistenza Spastici AIAS Bologna onlus</t>
  </si>
  <si>
    <t>1339932,00</t>
  </si>
  <si>
    <t>202978,07</t>
  </si>
  <si>
    <t>Ulteriori provv.ti per contratto relativo ai servizi postali notificazione atti giudiziari/sanzioni amm.ve per Ausl di Bologna - Det. n. 3399 del 30/12/2022</t>
  </si>
  <si>
    <t>RTI POSTE ITALIANE - POSTEL</t>
  </si>
  <si>
    <t>167369,00</t>
  </si>
  <si>
    <t>Adesione a convenzione Intercent-ER "Servizi di notificazione tramite posta" lotto 2 per Ausl di Bologna  - Det. n. 233 del 27/01/2023</t>
  </si>
  <si>
    <t>RTI POSTE ITALIANE SPA-POSTEL SPA</t>
  </si>
  <si>
    <t>744000,00</t>
  </si>
  <si>
    <t>Proroga tecnica al 31/03/2023 servizi postali ex lotto 2 e integrativi nelle more attivazione nuova convenzione IntercentEr - Determina n. 3398 del 30/12/2022</t>
  </si>
  <si>
    <t>72258,78</t>
  </si>
  <si>
    <t>Contratto ponte per fornitura accessori per consumazione pasti a ridotto impatto ambientale, nelle more attivazione nuova procedura di gara da parte di Intercent, per Ausl di Bologna. Det. n. 1528 del 13/06/2023</t>
  </si>
  <si>
    <t>RTI 3MC SPA-LA CASALINDA SRL</t>
  </si>
  <si>
    <t>1448,94</t>
  </si>
  <si>
    <t>5046,36</t>
  </si>
  <si>
    <t>4201,30</t>
  </si>
  <si>
    <t>34476,40</t>
  </si>
  <si>
    <t>AGENFOS SNC</t>
  </si>
  <si>
    <t>FARMACIA COOPERATIVA DI BOLOGNA - SOCIETA' COOPER</t>
  </si>
  <si>
    <t>LA FUTURA s.r.l.</t>
  </si>
  <si>
    <t>Gardhen Bilance S.r.l.</t>
  </si>
  <si>
    <t>LA BADIA SAS DI DEGLI ESPOSTI SILVIO e C.</t>
  </si>
  <si>
    <t>Frantoio Fondovalle</t>
  </si>
  <si>
    <t>Marchesi Movimento terra srl</t>
  </si>
  <si>
    <t>Katik srl</t>
  </si>
  <si>
    <t>RTI WILLIS ITALIA SPA - AON SPA</t>
  </si>
  <si>
    <t>237070,00</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</si>
</sst>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18" fillId="0" borderId="0" xfId="0" applyFont="1"/>
    <xf numFmtId="14" fontId="18" fillId="0" borderId="0" xfId="0" applyNumberFormat="1" applyFont="1"/>
    <xf numFmtId="0" fontId="18" fillId="0" borderId="0" xfId="0" quotePrefix="1" applyFont="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3372"/>
  <sheetViews>
    <sheetView tabSelected="1" zoomScale="90" zoomScaleNormal="90" workbookViewId="0">
      <selection activeCell="C39" sqref="C39"/>
    </sheetView>
  </sheetViews>
  <sheetFormatPr defaultRowHeight="15"/>
  <cols>
    <col min="1" max="1" width="11.85546875" style="1" bestFit="1" customWidth="1"/>
    <col min="2" max="2" width="30.28515625" style="1" bestFit="1" customWidth="1"/>
    <col min="3" max="3" width="31.7109375" style="1" bestFit="1" customWidth="1"/>
    <col min="4" max="4" width="29.7109375" style="1" bestFit="1" customWidth="1"/>
    <col min="5" max="5" width="87.7109375" style="1" customWidth="1"/>
    <col min="6" max="6" width="53" style="1" customWidth="1"/>
    <col min="7" max="7" width="15.5703125" style="1" customWidth="1"/>
    <col min="8" max="8" width="29.7109375" style="1" bestFit="1" customWidth="1"/>
    <col min="9" max="9" width="79.7109375" style="1" bestFit="1" customWidth="1"/>
    <col min="10" max="10" width="69" style="1" bestFit="1" customWidth="1"/>
    <col min="11" max="11" width="15.28515625" style="1" bestFit="1" customWidth="1"/>
    <col min="12" max="12" width="19.28515625" style="1" bestFit="1" customWidth="1"/>
    <col min="13" max="13" width="17.7109375" style="1" bestFit="1" customWidth="1"/>
    <col min="14" max="14" width="20.140625" style="1" bestFit="1" customWidth="1"/>
    <col min="15" max="15" width="31.7109375" style="1" bestFit="1" customWidth="1"/>
    <col min="16" max="16" width="22.42578125" style="1" bestFit="1" customWidth="1"/>
    <col min="17" max="17" width="18.140625" style="1" bestFit="1" customWidth="1"/>
    <col min="18" max="18" width="19.28515625" style="1" bestFit="1" customWidth="1"/>
    <col min="19" max="19" width="30.85546875" style="1" bestFit="1" customWidth="1"/>
    <col min="20" max="20" width="23.7109375" style="1" bestFit="1" customWidth="1"/>
    <col min="21" max="21" width="10.85546875" style="1" bestFit="1" customWidth="1"/>
    <col min="22" max="22" width="11.5703125" style="1" bestFit="1" customWidth="1"/>
    <col min="23" max="23" width="5.5703125" style="1" bestFit="1" customWidth="1"/>
    <col min="24" max="24" width="19.140625" style="1" bestFit="1" customWidth="1"/>
    <col min="25" max="25" width="18.7109375" style="1" bestFit="1" customWidth="1"/>
    <col min="26" max="26" width="27" style="1" bestFit="1" customWidth="1"/>
    <col min="27" max="27" width="25.42578125" style="1" bestFit="1" customWidth="1"/>
    <col min="28" max="28" width="31.140625" style="1" bestFit="1" customWidth="1"/>
    <col min="29" max="29" width="14.7109375" style="1" bestFit="1" customWidth="1"/>
    <col min="30" max="30" width="13.5703125" style="1" bestFit="1" customWidth="1"/>
    <col min="31" max="31" width="20.28515625" style="1" bestFit="1" customWidth="1"/>
    <col min="32" max="32" width="24.28515625" style="1" bestFit="1" customWidth="1"/>
    <col min="33" max="33" width="14.28515625" style="1" bestFit="1" customWidth="1"/>
    <col min="34" max="34" width="17.42578125" style="1" bestFit="1" customWidth="1"/>
    <col min="35" max="35" width="16.28515625" style="1" bestFit="1" customWidth="1"/>
    <col min="36" max="36" width="17.28515625" style="1" bestFit="1" customWidth="1"/>
    <col min="37" max="37" width="14.7109375" style="1" bestFit="1" customWidth="1"/>
    <col min="38" max="16384" width="9.140625" style="1"/>
  </cols>
  <sheetData>
    <row r="1" spans="1:3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row>
    <row r="2" spans="1:37">
      <c r="A2" s="1">
        <f>7825062570</f>
        <v>7825062570</v>
      </c>
      <c r="B2" s="1" t="str">
        <f t="shared" ref="B2:B65" si="0">"02406911202"</f>
        <v>02406911202</v>
      </c>
      <c r="C2" s="1" t="s">
        <v>13</v>
      </c>
      <c r="D2" s="1" t="s">
        <v>37</v>
      </c>
      <c r="E2" s="1" t="s">
        <v>38</v>
      </c>
      <c r="F2" s="1" t="s">
        <v>39</v>
      </c>
      <c r="G2" s="1" t="str">
        <f>"00856750153"</f>
        <v>00856750153</v>
      </c>
      <c r="I2" s="1" t="s">
        <v>40</v>
      </c>
      <c r="L2" s="1" t="s">
        <v>41</v>
      </c>
      <c r="AJ2" s="2">
        <v>44927</v>
      </c>
    </row>
    <row r="3" spans="1:37">
      <c r="A3" s="1" t="str">
        <f>"795450592D"</f>
        <v>795450592D</v>
      </c>
      <c r="B3" s="1" t="str">
        <f t="shared" si="0"/>
        <v>02406911202</v>
      </c>
      <c r="C3" s="1" t="s">
        <v>13</v>
      </c>
      <c r="D3" s="1" t="s">
        <v>37</v>
      </c>
      <c r="E3" s="1" t="s">
        <v>42</v>
      </c>
      <c r="F3" s="1" t="s">
        <v>39</v>
      </c>
      <c r="G3" s="1" t="str">
        <f>"11159150157"</f>
        <v>11159150157</v>
      </c>
      <c r="I3" s="1" t="s">
        <v>43</v>
      </c>
      <c r="L3" s="1" t="s">
        <v>44</v>
      </c>
      <c r="M3" s="1" t="s">
        <v>45</v>
      </c>
      <c r="AG3" s="1" t="s">
        <v>46</v>
      </c>
      <c r="AH3" s="2">
        <v>44927</v>
      </c>
      <c r="AI3" s="2">
        <v>45291</v>
      </c>
      <c r="AJ3" s="2">
        <v>44927</v>
      </c>
    </row>
    <row r="4" spans="1:37">
      <c r="A4" s="1" t="str">
        <f>"8478736A48"</f>
        <v>8478736A48</v>
      </c>
      <c r="B4" s="1" t="str">
        <f t="shared" si="0"/>
        <v>02406911202</v>
      </c>
      <c r="C4" s="1" t="s">
        <v>13</v>
      </c>
      <c r="D4" s="1" t="s">
        <v>47</v>
      </c>
      <c r="E4" s="1" t="s">
        <v>48</v>
      </c>
      <c r="F4" s="1" t="s">
        <v>49</v>
      </c>
      <c r="G4" s="1" t="str">
        <f>"03902220486"</f>
        <v>03902220486</v>
      </c>
      <c r="I4" s="1" t="s">
        <v>50</v>
      </c>
      <c r="J4" s="1" t="s">
        <v>6759</v>
      </c>
      <c r="K4" s="1" t="s">
        <v>51</v>
      </c>
      <c r="AJ4" s="2">
        <v>44927</v>
      </c>
    </row>
    <row r="5" spans="1:37">
      <c r="A5" s="1" t="str">
        <f>"8478736A48"</f>
        <v>8478736A48</v>
      </c>
      <c r="B5" s="1" t="str">
        <f t="shared" si="0"/>
        <v>02406911202</v>
      </c>
      <c r="C5" s="1" t="s">
        <v>13</v>
      </c>
      <c r="D5" s="1" t="s">
        <v>47</v>
      </c>
      <c r="E5" s="1" t="s">
        <v>48</v>
      </c>
      <c r="F5" s="1" t="s">
        <v>49</v>
      </c>
      <c r="G5" s="1" t="str">
        <f>"10203070155"</f>
        <v>10203070155</v>
      </c>
      <c r="I5" s="1" t="s">
        <v>52</v>
      </c>
      <c r="J5" s="1" t="s">
        <v>6759</v>
      </c>
      <c r="K5" s="1" t="s">
        <v>53</v>
      </c>
      <c r="AJ5" s="2">
        <v>44927</v>
      </c>
    </row>
    <row r="6" spans="1:37">
      <c r="A6" s="1" t="str">
        <f>"8478736A48"</f>
        <v>8478736A48</v>
      </c>
      <c r="B6" s="1" t="str">
        <f t="shared" si="0"/>
        <v>02406911202</v>
      </c>
      <c r="C6" s="1" t="s">
        <v>13</v>
      </c>
      <c r="D6" s="1" t="s">
        <v>47</v>
      </c>
      <c r="E6" s="1" t="s">
        <v>48</v>
      </c>
      <c r="F6" s="1" t="s">
        <v>49</v>
      </c>
      <c r="I6" s="1" t="s">
        <v>6759</v>
      </c>
      <c r="L6" s="1" t="s">
        <v>44</v>
      </c>
      <c r="M6" s="1" t="s">
        <v>54</v>
      </c>
      <c r="N6" s="1" t="s">
        <v>55</v>
      </c>
      <c r="O6" s="1" t="s">
        <v>55</v>
      </c>
      <c r="P6" s="1" t="s">
        <v>55</v>
      </c>
      <c r="Q6" s="1" t="s">
        <v>55</v>
      </c>
      <c r="R6" s="1" t="s">
        <v>55</v>
      </c>
      <c r="S6" s="1" t="s">
        <v>55</v>
      </c>
      <c r="AG6" s="1" t="s">
        <v>56</v>
      </c>
      <c r="AJ6" s="2">
        <v>44927</v>
      </c>
    </row>
    <row r="7" spans="1:37">
      <c r="A7" s="1" t="str">
        <f>"9291522683"</f>
        <v>9291522683</v>
      </c>
      <c r="B7" s="1" t="str">
        <f t="shared" si="0"/>
        <v>02406911202</v>
      </c>
      <c r="C7" s="1" t="s">
        <v>13</v>
      </c>
      <c r="D7" s="1" t="s">
        <v>47</v>
      </c>
      <c r="E7" s="1" t="s">
        <v>57</v>
      </c>
      <c r="F7" s="1" t="s">
        <v>39</v>
      </c>
      <c r="G7" s="1" t="str">
        <f>"10972900962"</f>
        <v>10972900962</v>
      </c>
      <c r="I7" s="1" t="s">
        <v>58</v>
      </c>
      <c r="L7" s="1" t="s">
        <v>44</v>
      </c>
      <c r="M7" s="1" t="s">
        <v>59</v>
      </c>
      <c r="N7" s="1" t="s">
        <v>60</v>
      </c>
      <c r="O7" s="1" t="s">
        <v>61</v>
      </c>
      <c r="P7" s="1" t="s">
        <v>62</v>
      </c>
      <c r="Q7" s="1" t="s">
        <v>61</v>
      </c>
      <c r="AJ7" s="2">
        <v>45100</v>
      </c>
    </row>
    <row r="8" spans="1:37">
      <c r="A8" s="1" t="str">
        <f>"9593333CD2"</f>
        <v>9593333CD2</v>
      </c>
      <c r="B8" s="1" t="str">
        <f t="shared" si="0"/>
        <v>02406911202</v>
      </c>
      <c r="C8" s="1" t="s">
        <v>13</v>
      </c>
      <c r="D8" s="1" t="s">
        <v>47</v>
      </c>
      <c r="E8" s="1" t="s">
        <v>63</v>
      </c>
      <c r="F8" s="1" t="s">
        <v>39</v>
      </c>
      <c r="G8" s="1" t="str">
        <f>"11264670156"</f>
        <v>11264670156</v>
      </c>
      <c r="I8" s="1" t="s">
        <v>64</v>
      </c>
      <c r="L8" s="1" t="s">
        <v>44</v>
      </c>
      <c r="M8" s="1" t="s">
        <v>65</v>
      </c>
      <c r="N8" s="1" t="s">
        <v>66</v>
      </c>
      <c r="O8" s="1" t="s">
        <v>67</v>
      </c>
      <c r="AJ8" s="2">
        <v>44936</v>
      </c>
    </row>
    <row r="9" spans="1:37">
      <c r="A9" s="1" t="str">
        <f>"9593352C80"</f>
        <v>9593352C80</v>
      </c>
      <c r="B9" s="1" t="str">
        <f t="shared" si="0"/>
        <v>02406911202</v>
      </c>
      <c r="C9" s="1" t="s">
        <v>13</v>
      </c>
      <c r="D9" s="1" t="s">
        <v>47</v>
      </c>
      <c r="E9" s="1" t="s">
        <v>63</v>
      </c>
      <c r="F9" s="1" t="s">
        <v>39</v>
      </c>
      <c r="G9" s="1" t="str">
        <f>"00803890151"</f>
        <v>00803890151</v>
      </c>
      <c r="I9" s="1" t="s">
        <v>68</v>
      </c>
      <c r="L9" s="1" t="s">
        <v>44</v>
      </c>
      <c r="M9" s="1" t="s">
        <v>69</v>
      </c>
      <c r="N9" s="1" t="s">
        <v>70</v>
      </c>
      <c r="O9" s="1" t="s">
        <v>71</v>
      </c>
      <c r="AJ9" s="2">
        <v>44936</v>
      </c>
    </row>
    <row r="10" spans="1:37">
      <c r="A10" s="1" t="str">
        <f>"9593369A88"</f>
        <v>9593369A88</v>
      </c>
      <c r="B10" s="1" t="str">
        <f t="shared" si="0"/>
        <v>02406911202</v>
      </c>
      <c r="C10" s="1" t="s">
        <v>13</v>
      </c>
      <c r="D10" s="1" t="s">
        <v>47</v>
      </c>
      <c r="E10" s="1" t="s">
        <v>63</v>
      </c>
      <c r="F10" s="1" t="s">
        <v>39</v>
      </c>
      <c r="G10" s="1" t="str">
        <f>"09158150962"</f>
        <v>09158150962</v>
      </c>
      <c r="I10" s="1" t="s">
        <v>72</v>
      </c>
      <c r="L10" s="1" t="s">
        <v>44</v>
      </c>
      <c r="M10" s="1" t="s">
        <v>73</v>
      </c>
      <c r="N10" s="1" t="s">
        <v>74</v>
      </c>
      <c r="O10" s="1" t="s">
        <v>75</v>
      </c>
      <c r="AJ10" s="2">
        <v>44936</v>
      </c>
    </row>
    <row r="11" spans="1:37">
      <c r="A11" s="1" t="str">
        <f>"9593381471"</f>
        <v>9593381471</v>
      </c>
      <c r="B11" s="1" t="str">
        <f t="shared" si="0"/>
        <v>02406911202</v>
      </c>
      <c r="C11" s="1" t="s">
        <v>13</v>
      </c>
      <c r="D11" s="1" t="s">
        <v>47</v>
      </c>
      <c r="E11" s="1" t="s">
        <v>63</v>
      </c>
      <c r="F11" s="1" t="s">
        <v>39</v>
      </c>
      <c r="G11" s="1" t="str">
        <f>"07123400157"</f>
        <v>07123400157</v>
      </c>
      <c r="I11" s="1" t="s">
        <v>76</v>
      </c>
      <c r="L11" s="1" t="s">
        <v>44</v>
      </c>
      <c r="M11" s="1" t="s">
        <v>77</v>
      </c>
      <c r="N11" s="1" t="s">
        <v>78</v>
      </c>
      <c r="O11" s="1" t="s">
        <v>79</v>
      </c>
      <c r="AJ11" s="2">
        <v>44936</v>
      </c>
    </row>
    <row r="12" spans="1:37">
      <c r="A12" s="1" t="str">
        <f>"959503595C"</f>
        <v>959503595C</v>
      </c>
      <c r="B12" s="1" t="str">
        <f t="shared" si="0"/>
        <v>02406911202</v>
      </c>
      <c r="C12" s="1" t="s">
        <v>13</v>
      </c>
      <c r="D12" s="1" t="s">
        <v>47</v>
      </c>
      <c r="E12" s="1" t="s">
        <v>63</v>
      </c>
      <c r="F12" s="1" t="s">
        <v>39</v>
      </c>
      <c r="G12" s="1" t="str">
        <f>"01736720994"</f>
        <v>01736720994</v>
      </c>
      <c r="I12" s="1" t="s">
        <v>80</v>
      </c>
      <c r="L12" s="1" t="s">
        <v>44</v>
      </c>
      <c r="M12" s="1" t="s">
        <v>81</v>
      </c>
      <c r="N12" s="1" t="s">
        <v>82</v>
      </c>
      <c r="O12" s="1" t="s">
        <v>83</v>
      </c>
      <c r="AJ12" s="2">
        <v>44936</v>
      </c>
    </row>
    <row r="13" spans="1:37">
      <c r="A13" s="1" t="str">
        <f>"9595052764"</f>
        <v>9595052764</v>
      </c>
      <c r="B13" s="1" t="str">
        <f t="shared" si="0"/>
        <v>02406911202</v>
      </c>
      <c r="C13" s="1" t="s">
        <v>13</v>
      </c>
      <c r="D13" s="1" t="s">
        <v>47</v>
      </c>
      <c r="E13" s="1" t="s">
        <v>63</v>
      </c>
      <c r="F13" s="1" t="s">
        <v>39</v>
      </c>
      <c r="G13" s="1" t="str">
        <f>"03992220966"</f>
        <v>03992220966</v>
      </c>
      <c r="I13" s="1" t="s">
        <v>84</v>
      </c>
      <c r="L13" s="1" t="s">
        <v>44</v>
      </c>
      <c r="M13" s="1" t="s">
        <v>85</v>
      </c>
      <c r="N13" s="1" t="s">
        <v>86</v>
      </c>
      <c r="O13" s="1" t="s">
        <v>87</v>
      </c>
      <c r="AJ13" s="2">
        <v>44936</v>
      </c>
    </row>
    <row r="14" spans="1:37">
      <c r="A14" s="1" t="str">
        <f>"95950738B8"</f>
        <v>95950738B8</v>
      </c>
      <c r="B14" s="1" t="str">
        <f t="shared" si="0"/>
        <v>02406911202</v>
      </c>
      <c r="C14" s="1" t="s">
        <v>13</v>
      </c>
      <c r="D14" s="1" t="s">
        <v>47</v>
      </c>
      <c r="E14" s="1" t="s">
        <v>63</v>
      </c>
      <c r="F14" s="1" t="s">
        <v>39</v>
      </c>
      <c r="G14" s="1" t="str">
        <f>"09238800156"</f>
        <v>09238800156</v>
      </c>
      <c r="I14" s="1" t="s">
        <v>88</v>
      </c>
      <c r="L14" s="1" t="s">
        <v>44</v>
      </c>
      <c r="M14" s="1" t="s">
        <v>89</v>
      </c>
      <c r="N14" s="1" t="s">
        <v>90</v>
      </c>
      <c r="O14" s="1" t="s">
        <v>91</v>
      </c>
      <c r="AJ14" s="2">
        <v>44936</v>
      </c>
    </row>
    <row r="15" spans="1:37">
      <c r="A15" s="1" t="str">
        <f>"9595091793"</f>
        <v>9595091793</v>
      </c>
      <c r="B15" s="1" t="str">
        <f t="shared" si="0"/>
        <v>02406911202</v>
      </c>
      <c r="C15" s="1" t="s">
        <v>13</v>
      </c>
      <c r="D15" s="1" t="s">
        <v>47</v>
      </c>
      <c r="E15" s="1" t="s">
        <v>63</v>
      </c>
      <c r="F15" s="1" t="s">
        <v>39</v>
      </c>
      <c r="G15" s="1" t="str">
        <f>"01681100150"</f>
        <v>01681100150</v>
      </c>
      <c r="I15" s="1" t="s">
        <v>92</v>
      </c>
      <c r="L15" s="1" t="s">
        <v>44</v>
      </c>
      <c r="M15" s="1" t="s">
        <v>93</v>
      </c>
      <c r="N15" s="1" t="s">
        <v>94</v>
      </c>
      <c r="O15" s="1" t="s">
        <v>95</v>
      </c>
      <c r="AJ15" s="2">
        <v>44936</v>
      </c>
    </row>
    <row r="16" spans="1:37">
      <c r="A16" s="1" t="str">
        <f>"9595105322"</f>
        <v>9595105322</v>
      </c>
      <c r="B16" s="1" t="str">
        <f t="shared" si="0"/>
        <v>02406911202</v>
      </c>
      <c r="C16" s="1" t="s">
        <v>13</v>
      </c>
      <c r="D16" s="1" t="s">
        <v>47</v>
      </c>
      <c r="E16" s="1" t="s">
        <v>63</v>
      </c>
      <c r="F16" s="1" t="s">
        <v>39</v>
      </c>
      <c r="G16" s="1" t="str">
        <f>"07279701002"</f>
        <v>07279701002</v>
      </c>
      <c r="I16" s="1" t="s">
        <v>96</v>
      </c>
      <c r="L16" s="1" t="s">
        <v>44</v>
      </c>
      <c r="M16" s="1" t="s">
        <v>97</v>
      </c>
      <c r="O16" s="1" t="s">
        <v>97</v>
      </c>
      <c r="AJ16" s="2">
        <v>44936</v>
      </c>
    </row>
    <row r="17" spans="1:36">
      <c r="A17" s="1" t="str">
        <f>"95751152DD"</f>
        <v>95751152DD</v>
      </c>
      <c r="B17" s="1" t="str">
        <f t="shared" si="0"/>
        <v>02406911202</v>
      </c>
      <c r="C17" s="1" t="s">
        <v>13</v>
      </c>
      <c r="D17" s="1" t="s">
        <v>47</v>
      </c>
      <c r="E17" s="1" t="s">
        <v>98</v>
      </c>
      <c r="F17" s="1" t="s">
        <v>99</v>
      </c>
      <c r="G17" s="1" t="str">
        <f>"97103880585"</f>
        <v>97103880585</v>
      </c>
      <c r="I17" s="1" t="s">
        <v>100</v>
      </c>
      <c r="L17" s="1" t="s">
        <v>44</v>
      </c>
      <c r="M17" s="1" t="s">
        <v>101</v>
      </c>
      <c r="O17" s="1" t="s">
        <v>102</v>
      </c>
      <c r="P17" s="1" t="s">
        <v>103</v>
      </c>
      <c r="Q17" s="1" t="s">
        <v>104</v>
      </c>
      <c r="AJ17" s="2">
        <v>44929</v>
      </c>
    </row>
    <row r="18" spans="1:36">
      <c r="A18" s="1" t="str">
        <f>"95751152DD"</f>
        <v>95751152DD</v>
      </c>
      <c r="B18" s="1" t="str">
        <f t="shared" si="0"/>
        <v>02406911202</v>
      </c>
      <c r="C18" s="1" t="s">
        <v>13</v>
      </c>
      <c r="D18" s="1" t="s">
        <v>47</v>
      </c>
      <c r="E18" s="1" t="s">
        <v>98</v>
      </c>
      <c r="F18" s="1" t="s">
        <v>99</v>
      </c>
      <c r="G18" s="1" t="str">
        <f>"04839740489"</f>
        <v>04839740489</v>
      </c>
      <c r="I18" s="1" t="s">
        <v>105</v>
      </c>
      <c r="L18" s="1" t="s">
        <v>44</v>
      </c>
      <c r="M18" s="1" t="s">
        <v>101</v>
      </c>
      <c r="O18" s="1" t="s">
        <v>102</v>
      </c>
      <c r="P18" s="1" t="s">
        <v>103</v>
      </c>
      <c r="Q18" s="1" t="s">
        <v>104</v>
      </c>
      <c r="AJ18" s="2">
        <v>44929</v>
      </c>
    </row>
    <row r="19" spans="1:36">
      <c r="A19" s="1" t="str">
        <f>"9569856EFC"</f>
        <v>9569856EFC</v>
      </c>
      <c r="B19" s="1" t="str">
        <f t="shared" si="0"/>
        <v>02406911202</v>
      </c>
      <c r="C19" s="1" t="s">
        <v>13</v>
      </c>
      <c r="D19" s="1" t="s">
        <v>47</v>
      </c>
      <c r="E19" s="1" t="s">
        <v>106</v>
      </c>
      <c r="F19" s="1" t="s">
        <v>99</v>
      </c>
      <c r="G19" s="1" t="str">
        <f>"97103880585"</f>
        <v>97103880585</v>
      </c>
      <c r="I19" s="1" t="s">
        <v>100</v>
      </c>
      <c r="J19" s="1" t="s">
        <v>107</v>
      </c>
      <c r="K19" s="1" t="s">
        <v>51</v>
      </c>
      <c r="AJ19" s="2">
        <v>44929</v>
      </c>
    </row>
    <row r="20" spans="1:36">
      <c r="A20" s="1" t="str">
        <f>"9569856EFC"</f>
        <v>9569856EFC</v>
      </c>
      <c r="B20" s="1" t="str">
        <f t="shared" si="0"/>
        <v>02406911202</v>
      </c>
      <c r="C20" s="1" t="s">
        <v>13</v>
      </c>
      <c r="D20" s="1" t="s">
        <v>47</v>
      </c>
      <c r="E20" s="1" t="s">
        <v>106</v>
      </c>
      <c r="F20" s="1" t="s">
        <v>99</v>
      </c>
      <c r="G20" s="1" t="str">
        <f>"04839740489"</f>
        <v>04839740489</v>
      </c>
      <c r="I20" s="1" t="s">
        <v>105</v>
      </c>
      <c r="J20" s="1" t="s">
        <v>107</v>
      </c>
      <c r="K20" s="1" t="s">
        <v>53</v>
      </c>
      <c r="AJ20" s="2">
        <v>44929</v>
      </c>
    </row>
    <row r="21" spans="1:36">
      <c r="A21" s="1" t="str">
        <f>"9569856EFC"</f>
        <v>9569856EFC</v>
      </c>
      <c r="B21" s="1" t="str">
        <f t="shared" si="0"/>
        <v>02406911202</v>
      </c>
      <c r="C21" s="1" t="s">
        <v>13</v>
      </c>
      <c r="D21" s="1" t="s">
        <v>47</v>
      </c>
      <c r="E21" s="1" t="s">
        <v>106</v>
      </c>
      <c r="F21" s="1" t="s">
        <v>99</v>
      </c>
      <c r="I21" s="1" t="s">
        <v>107</v>
      </c>
      <c r="L21" s="1" t="s">
        <v>44</v>
      </c>
      <c r="M21" s="1" t="s">
        <v>108</v>
      </c>
      <c r="Q21" s="1" t="s">
        <v>108</v>
      </c>
      <c r="AJ21" s="2">
        <v>44929</v>
      </c>
    </row>
    <row r="22" spans="1:36">
      <c r="A22" s="1" t="str">
        <f>"9573270053"</f>
        <v>9573270053</v>
      </c>
      <c r="B22" s="1" t="str">
        <f t="shared" si="0"/>
        <v>02406911202</v>
      </c>
      <c r="C22" s="1" t="s">
        <v>13</v>
      </c>
      <c r="D22" s="1" t="s">
        <v>47</v>
      </c>
      <c r="E22" s="1" t="s">
        <v>109</v>
      </c>
      <c r="F22" s="1" t="s">
        <v>99</v>
      </c>
      <c r="G22" s="1" t="str">
        <f>"03411480373"</f>
        <v>03411480373</v>
      </c>
      <c r="I22" s="1" t="s">
        <v>110</v>
      </c>
      <c r="L22" s="1" t="s">
        <v>44</v>
      </c>
      <c r="M22" s="1" t="s">
        <v>111</v>
      </c>
      <c r="N22" s="1" t="s">
        <v>112</v>
      </c>
      <c r="O22" s="1" t="s">
        <v>113</v>
      </c>
      <c r="P22" s="1" t="s">
        <v>114</v>
      </c>
      <c r="Q22" s="1" t="s">
        <v>115</v>
      </c>
      <c r="AJ22" s="2">
        <v>44929</v>
      </c>
    </row>
    <row r="23" spans="1:36">
      <c r="A23" s="1" t="str">
        <f>"90619204F3"</f>
        <v>90619204F3</v>
      </c>
      <c r="B23" s="1" t="str">
        <f t="shared" si="0"/>
        <v>02406911202</v>
      </c>
      <c r="C23" s="1" t="s">
        <v>13</v>
      </c>
      <c r="D23" s="1" t="s">
        <v>37</v>
      </c>
      <c r="E23" s="1" t="s">
        <v>116</v>
      </c>
      <c r="F23" s="1" t="s">
        <v>117</v>
      </c>
      <c r="G23" s="1" t="str">
        <f>"09050810960"</f>
        <v>09050810960</v>
      </c>
      <c r="I23" s="1" t="s">
        <v>118</v>
      </c>
      <c r="L23" s="1" t="s">
        <v>44</v>
      </c>
      <c r="M23" s="1" t="s">
        <v>119</v>
      </c>
      <c r="AG23" s="1" t="s">
        <v>120</v>
      </c>
      <c r="AH23" s="2">
        <v>44946</v>
      </c>
      <c r="AI23" s="2">
        <v>44946</v>
      </c>
      <c r="AJ23" s="2">
        <v>44946</v>
      </c>
    </row>
    <row r="24" spans="1:36">
      <c r="A24" s="1" t="str">
        <f>"955578968A"</f>
        <v>955578968A</v>
      </c>
      <c r="B24" s="1" t="str">
        <f t="shared" si="0"/>
        <v>02406911202</v>
      </c>
      <c r="C24" s="1" t="s">
        <v>13</v>
      </c>
      <c r="D24" s="1" t="s">
        <v>37</v>
      </c>
      <c r="E24" s="1" t="s">
        <v>121</v>
      </c>
      <c r="F24" s="1" t="s">
        <v>117</v>
      </c>
      <c r="G24" s="1" t="str">
        <f>"02152610784"</f>
        <v>02152610784</v>
      </c>
      <c r="I24" s="1" t="s">
        <v>122</v>
      </c>
      <c r="L24" s="1" t="s">
        <v>44</v>
      </c>
      <c r="M24" s="1" t="s">
        <v>123</v>
      </c>
      <c r="AG24" s="1" t="s">
        <v>124</v>
      </c>
      <c r="AH24" s="2">
        <v>44927</v>
      </c>
      <c r="AI24" s="2">
        <v>45199</v>
      </c>
      <c r="AJ24" s="2">
        <v>44927</v>
      </c>
    </row>
    <row r="25" spans="1:36">
      <c r="A25" s="1" t="str">
        <f>"95581399D1"</f>
        <v>95581399D1</v>
      </c>
      <c r="B25" s="1" t="str">
        <f t="shared" si="0"/>
        <v>02406911202</v>
      </c>
      <c r="C25" s="1" t="s">
        <v>13</v>
      </c>
      <c r="D25" s="1" t="s">
        <v>37</v>
      </c>
      <c r="E25" s="1" t="s">
        <v>121</v>
      </c>
      <c r="F25" s="1" t="s">
        <v>117</v>
      </c>
      <c r="G25" s="1" t="str">
        <f>"00397360488"</f>
        <v>00397360488</v>
      </c>
      <c r="I25" s="1" t="s">
        <v>125</v>
      </c>
      <c r="L25" s="1" t="s">
        <v>44</v>
      </c>
      <c r="M25" s="1" t="s">
        <v>126</v>
      </c>
      <c r="AG25" s="1" t="s">
        <v>124</v>
      </c>
      <c r="AH25" s="2">
        <v>44927</v>
      </c>
      <c r="AI25" s="2">
        <v>45199</v>
      </c>
      <c r="AJ25" s="2">
        <v>44927</v>
      </c>
    </row>
    <row r="26" spans="1:36">
      <c r="A26" s="1" t="str">
        <f>"9558183E1F"</f>
        <v>9558183E1F</v>
      </c>
      <c r="B26" s="1" t="str">
        <f t="shared" si="0"/>
        <v>02406911202</v>
      </c>
      <c r="C26" s="1" t="s">
        <v>13</v>
      </c>
      <c r="D26" s="1" t="s">
        <v>37</v>
      </c>
      <c r="E26" s="1" t="s">
        <v>121</v>
      </c>
      <c r="F26" s="1" t="s">
        <v>117</v>
      </c>
      <c r="G26" s="1" t="str">
        <f>"12300580151"</f>
        <v>12300580151</v>
      </c>
      <c r="I26" s="1" t="s">
        <v>127</v>
      </c>
      <c r="L26" s="1" t="s">
        <v>44</v>
      </c>
      <c r="M26" s="1" t="s">
        <v>128</v>
      </c>
      <c r="AG26" s="1" t="s">
        <v>124</v>
      </c>
      <c r="AH26" s="2">
        <v>44927</v>
      </c>
      <c r="AI26" s="2">
        <v>45199</v>
      </c>
      <c r="AJ26" s="2">
        <v>44927</v>
      </c>
    </row>
    <row r="27" spans="1:36">
      <c r="A27" s="1" t="str">
        <f>"Z7C3942DF0"</f>
        <v>Z7C3942DF0</v>
      </c>
      <c r="B27" s="1" t="str">
        <f t="shared" si="0"/>
        <v>02406911202</v>
      </c>
      <c r="C27" s="1" t="s">
        <v>13</v>
      </c>
      <c r="D27" s="1" t="s">
        <v>37</v>
      </c>
      <c r="E27" s="1" t="s">
        <v>129</v>
      </c>
      <c r="F27" s="1" t="s">
        <v>39</v>
      </c>
      <c r="G27" s="1" t="str">
        <f>"13144290155"</f>
        <v>13144290155</v>
      </c>
      <c r="I27" s="1" t="s">
        <v>130</v>
      </c>
      <c r="L27" s="1" t="s">
        <v>44</v>
      </c>
      <c r="M27" s="1" t="s">
        <v>131</v>
      </c>
      <c r="AG27" s="1" t="s">
        <v>124</v>
      </c>
      <c r="AH27" s="2">
        <v>44927</v>
      </c>
      <c r="AI27" s="2">
        <v>45016</v>
      </c>
      <c r="AJ27" s="2">
        <v>44927</v>
      </c>
    </row>
    <row r="28" spans="1:36">
      <c r="A28" s="1" t="str">
        <f>"9567073664"</f>
        <v>9567073664</v>
      </c>
      <c r="B28" s="1" t="str">
        <f t="shared" si="0"/>
        <v>02406911202</v>
      </c>
      <c r="C28" s="1" t="s">
        <v>13</v>
      </c>
      <c r="D28" s="1" t="s">
        <v>37</v>
      </c>
      <c r="E28" s="1" t="s">
        <v>132</v>
      </c>
      <c r="F28" s="1" t="s">
        <v>39</v>
      </c>
      <c r="G28" s="1" t="str">
        <f>"00076670595"</f>
        <v>00076670595</v>
      </c>
      <c r="I28" s="1" t="s">
        <v>133</v>
      </c>
      <c r="L28" s="1" t="s">
        <v>44</v>
      </c>
      <c r="M28" s="1" t="s">
        <v>134</v>
      </c>
      <c r="AG28" s="1" t="s">
        <v>124</v>
      </c>
      <c r="AH28" s="2">
        <v>44927</v>
      </c>
      <c r="AI28" s="2">
        <v>45016</v>
      </c>
      <c r="AJ28" s="2">
        <v>44927</v>
      </c>
    </row>
    <row r="29" spans="1:36">
      <c r="A29" s="1" t="str">
        <f>"ZB43946927"</f>
        <v>ZB43946927</v>
      </c>
      <c r="B29" s="1" t="str">
        <f t="shared" si="0"/>
        <v>02406911202</v>
      </c>
      <c r="C29" s="1" t="s">
        <v>13</v>
      </c>
      <c r="D29" s="1" t="s">
        <v>37</v>
      </c>
      <c r="E29" s="1" t="s">
        <v>135</v>
      </c>
      <c r="F29" s="1" t="s">
        <v>49</v>
      </c>
      <c r="G29" s="1" t="str">
        <f>"01245160377"</f>
        <v>01245160377</v>
      </c>
      <c r="I29" s="1" t="s">
        <v>136</v>
      </c>
      <c r="L29" s="1" t="s">
        <v>44</v>
      </c>
      <c r="M29" s="1" t="s">
        <v>137</v>
      </c>
      <c r="AG29" s="1" t="s">
        <v>124</v>
      </c>
      <c r="AH29" s="2">
        <v>44927</v>
      </c>
      <c r="AI29" s="2">
        <v>45291</v>
      </c>
      <c r="AJ29" s="2">
        <v>44927</v>
      </c>
    </row>
    <row r="30" spans="1:36">
      <c r="A30" s="1" t="str">
        <f>"Z883946A0A"</f>
        <v>Z883946A0A</v>
      </c>
      <c r="B30" s="1" t="str">
        <f t="shared" si="0"/>
        <v>02406911202</v>
      </c>
      <c r="C30" s="1" t="s">
        <v>13</v>
      </c>
      <c r="D30" s="1" t="s">
        <v>37</v>
      </c>
      <c r="E30" s="1" t="s">
        <v>138</v>
      </c>
      <c r="F30" s="1" t="s">
        <v>49</v>
      </c>
      <c r="G30" s="1" t="str">
        <f>"04091660375"</f>
        <v>04091660375</v>
      </c>
      <c r="I30" s="1" t="s">
        <v>139</v>
      </c>
      <c r="L30" s="1" t="s">
        <v>44</v>
      </c>
      <c r="M30" s="1" t="s">
        <v>140</v>
      </c>
      <c r="AG30" s="1" t="s">
        <v>124</v>
      </c>
      <c r="AH30" s="2">
        <v>44927</v>
      </c>
      <c r="AI30" s="2">
        <v>45291</v>
      </c>
      <c r="AJ30" s="2">
        <v>44927</v>
      </c>
    </row>
    <row r="31" spans="1:36">
      <c r="A31" s="1" t="str">
        <f>"Z343947D8F"</f>
        <v>Z343947D8F</v>
      </c>
      <c r="B31" s="1" t="str">
        <f t="shared" si="0"/>
        <v>02406911202</v>
      </c>
      <c r="C31" s="1" t="s">
        <v>13</v>
      </c>
      <c r="D31" s="1" t="s">
        <v>37</v>
      </c>
      <c r="E31" s="1" t="s">
        <v>141</v>
      </c>
      <c r="F31" s="1" t="s">
        <v>49</v>
      </c>
      <c r="G31" s="1" t="str">
        <f>"02967081205"</f>
        <v>02967081205</v>
      </c>
      <c r="I31" s="1" t="s">
        <v>142</v>
      </c>
      <c r="L31" s="1" t="s">
        <v>44</v>
      </c>
      <c r="M31" s="1" t="s">
        <v>143</v>
      </c>
      <c r="AG31" s="1" t="s">
        <v>124</v>
      </c>
      <c r="AH31" s="2">
        <v>44927</v>
      </c>
      <c r="AI31" s="2">
        <v>45291</v>
      </c>
      <c r="AJ31" s="2">
        <v>44927</v>
      </c>
    </row>
    <row r="32" spans="1:36">
      <c r="A32" s="1" t="str">
        <f>"9544764C6A"</f>
        <v>9544764C6A</v>
      </c>
      <c r="B32" s="1" t="str">
        <f t="shared" si="0"/>
        <v>02406911202</v>
      </c>
      <c r="C32" s="1" t="s">
        <v>13</v>
      </c>
      <c r="D32" s="1" t="s">
        <v>37</v>
      </c>
      <c r="E32" s="1" t="s">
        <v>144</v>
      </c>
      <c r="F32" s="1" t="s">
        <v>117</v>
      </c>
      <c r="G32" s="1" t="str">
        <f>"11264670156"</f>
        <v>11264670156</v>
      </c>
      <c r="I32" s="1" t="s">
        <v>64</v>
      </c>
      <c r="L32" s="1" t="s">
        <v>44</v>
      </c>
      <c r="M32" s="1" t="s">
        <v>145</v>
      </c>
      <c r="AG32" s="1" t="s">
        <v>124</v>
      </c>
      <c r="AH32" s="2">
        <v>44927</v>
      </c>
      <c r="AI32" s="2">
        <v>45260</v>
      </c>
      <c r="AJ32" s="2">
        <v>44927</v>
      </c>
    </row>
    <row r="33" spans="1:36">
      <c r="A33" s="1" t="str">
        <f>"95448080BD"</f>
        <v>95448080BD</v>
      </c>
      <c r="B33" s="1" t="str">
        <f t="shared" si="0"/>
        <v>02406911202</v>
      </c>
      <c r="C33" s="1" t="s">
        <v>13</v>
      </c>
      <c r="D33" s="1" t="s">
        <v>37</v>
      </c>
      <c r="E33" s="1" t="s">
        <v>144</v>
      </c>
      <c r="F33" s="1" t="s">
        <v>117</v>
      </c>
      <c r="G33" s="1" t="str">
        <f>"08862820969"</f>
        <v>08862820969</v>
      </c>
      <c r="I33" s="1" t="s">
        <v>146</v>
      </c>
      <c r="L33" s="1" t="s">
        <v>44</v>
      </c>
      <c r="M33" s="1" t="s">
        <v>147</v>
      </c>
      <c r="AG33" s="1" t="s">
        <v>124</v>
      </c>
      <c r="AH33" s="2">
        <v>44927</v>
      </c>
      <c r="AI33" s="2">
        <v>45260</v>
      </c>
      <c r="AJ33" s="2">
        <v>44927</v>
      </c>
    </row>
    <row r="34" spans="1:36">
      <c r="A34" s="1" t="str">
        <f>"9544930569"</f>
        <v>9544930569</v>
      </c>
      <c r="B34" s="1" t="str">
        <f t="shared" si="0"/>
        <v>02406911202</v>
      </c>
      <c r="C34" s="1" t="s">
        <v>13</v>
      </c>
      <c r="D34" s="1" t="s">
        <v>37</v>
      </c>
      <c r="E34" s="1" t="s">
        <v>144</v>
      </c>
      <c r="F34" s="1" t="s">
        <v>117</v>
      </c>
      <c r="G34" s="1" t="str">
        <f>"09158150962"</f>
        <v>09158150962</v>
      </c>
      <c r="I34" s="1" t="s">
        <v>72</v>
      </c>
      <c r="L34" s="1" t="s">
        <v>44</v>
      </c>
      <c r="M34" s="1" t="s">
        <v>148</v>
      </c>
      <c r="AG34" s="1" t="s">
        <v>124</v>
      </c>
      <c r="AH34" s="2">
        <v>44927</v>
      </c>
      <c r="AI34" s="2">
        <v>45260</v>
      </c>
      <c r="AJ34" s="2">
        <v>44927</v>
      </c>
    </row>
    <row r="35" spans="1:36">
      <c r="A35" s="1" t="str">
        <f>"9544955A09"</f>
        <v>9544955A09</v>
      </c>
      <c r="B35" s="1" t="str">
        <f t="shared" si="0"/>
        <v>02406911202</v>
      </c>
      <c r="C35" s="1" t="s">
        <v>13</v>
      </c>
      <c r="D35" s="1" t="s">
        <v>37</v>
      </c>
      <c r="E35" s="1" t="s">
        <v>144</v>
      </c>
      <c r="F35" s="1" t="s">
        <v>117</v>
      </c>
      <c r="G35" s="1" t="str">
        <f>"07123400157"</f>
        <v>07123400157</v>
      </c>
      <c r="I35" s="1" t="s">
        <v>76</v>
      </c>
      <c r="L35" s="1" t="s">
        <v>44</v>
      </c>
      <c r="M35" s="1" t="s">
        <v>149</v>
      </c>
      <c r="AG35" s="1" t="s">
        <v>124</v>
      </c>
      <c r="AH35" s="2">
        <v>44927</v>
      </c>
      <c r="AI35" s="2">
        <v>45260</v>
      </c>
      <c r="AJ35" s="2">
        <v>44927</v>
      </c>
    </row>
    <row r="36" spans="1:36">
      <c r="A36" s="1" t="str">
        <f>"95451109F2"</f>
        <v>95451109F2</v>
      </c>
      <c r="B36" s="1" t="str">
        <f t="shared" si="0"/>
        <v>02406911202</v>
      </c>
      <c r="C36" s="1" t="s">
        <v>13</v>
      </c>
      <c r="D36" s="1" t="s">
        <v>37</v>
      </c>
      <c r="E36" s="1" t="s">
        <v>144</v>
      </c>
      <c r="F36" s="1" t="s">
        <v>117</v>
      </c>
      <c r="G36" s="1" t="str">
        <f>"03043200611"</f>
        <v>03043200611</v>
      </c>
      <c r="I36" s="1" t="s">
        <v>150</v>
      </c>
      <c r="L36" s="1" t="s">
        <v>44</v>
      </c>
      <c r="M36" s="1" t="s">
        <v>151</v>
      </c>
      <c r="AG36" s="1" t="s">
        <v>124</v>
      </c>
      <c r="AH36" s="2">
        <v>44927</v>
      </c>
      <c r="AI36" s="2">
        <v>45260</v>
      </c>
      <c r="AJ36" s="2">
        <v>44927</v>
      </c>
    </row>
    <row r="37" spans="1:36">
      <c r="A37" s="1" t="str">
        <f>"954514787B"</f>
        <v>954514787B</v>
      </c>
      <c r="B37" s="1" t="str">
        <f t="shared" si="0"/>
        <v>02406911202</v>
      </c>
      <c r="C37" s="1" t="s">
        <v>13</v>
      </c>
      <c r="D37" s="1" t="s">
        <v>37</v>
      </c>
      <c r="E37" s="1" t="s">
        <v>144</v>
      </c>
      <c r="F37" s="1" t="s">
        <v>117</v>
      </c>
      <c r="G37" s="1" t="str">
        <f>"03544600137"</f>
        <v>03544600137</v>
      </c>
      <c r="I37" s="1" t="s">
        <v>152</v>
      </c>
      <c r="L37" s="1" t="s">
        <v>44</v>
      </c>
      <c r="M37" s="1" t="s">
        <v>153</v>
      </c>
      <c r="AG37" s="1" t="s">
        <v>124</v>
      </c>
      <c r="AH37" s="2">
        <v>44927</v>
      </c>
      <c r="AI37" s="2">
        <v>45260</v>
      </c>
      <c r="AJ37" s="2">
        <v>44927</v>
      </c>
    </row>
    <row r="38" spans="1:36">
      <c r="A38" s="1" t="str">
        <f>"954518255E"</f>
        <v>954518255E</v>
      </c>
      <c r="B38" s="1" t="str">
        <f t="shared" si="0"/>
        <v>02406911202</v>
      </c>
      <c r="C38" s="1" t="s">
        <v>13</v>
      </c>
      <c r="D38" s="1" t="s">
        <v>37</v>
      </c>
      <c r="E38" s="1" t="s">
        <v>144</v>
      </c>
      <c r="F38" s="1" t="s">
        <v>117</v>
      </c>
      <c r="G38" s="1" t="str">
        <f>"10985900157"</f>
        <v>10985900157</v>
      </c>
      <c r="I38" s="1" t="s">
        <v>154</v>
      </c>
      <c r="L38" s="1" t="s">
        <v>44</v>
      </c>
      <c r="M38" s="1" t="s">
        <v>155</v>
      </c>
      <c r="AG38" s="1" t="s">
        <v>124</v>
      </c>
      <c r="AH38" s="2">
        <v>44927</v>
      </c>
      <c r="AI38" s="2">
        <v>45260</v>
      </c>
      <c r="AJ38" s="2">
        <v>44927</v>
      </c>
    </row>
    <row r="39" spans="1:36">
      <c r="A39" s="1" t="str">
        <f>"Z6C3944514"</f>
        <v>Z6C3944514</v>
      </c>
      <c r="B39" s="1" t="str">
        <f t="shared" si="0"/>
        <v>02406911202</v>
      </c>
      <c r="C39" s="1" t="s">
        <v>13</v>
      </c>
      <c r="D39" s="1" t="s">
        <v>37</v>
      </c>
      <c r="E39" s="1" t="s">
        <v>156</v>
      </c>
      <c r="F39" s="1" t="s">
        <v>49</v>
      </c>
      <c r="G39" s="1" t="str">
        <f>"01682401201"</f>
        <v>01682401201</v>
      </c>
      <c r="I39" s="1" t="s">
        <v>6755</v>
      </c>
      <c r="L39" s="1" t="s">
        <v>44</v>
      </c>
      <c r="M39" s="1" t="s">
        <v>157</v>
      </c>
      <c r="AG39" s="1" t="s">
        <v>124</v>
      </c>
      <c r="AH39" s="2">
        <v>44927</v>
      </c>
      <c r="AI39" s="2">
        <v>45291</v>
      </c>
      <c r="AJ39" s="2">
        <v>44927</v>
      </c>
    </row>
    <row r="40" spans="1:36">
      <c r="A40" s="1" t="str">
        <f>"Z743951136"</f>
        <v>Z743951136</v>
      </c>
      <c r="B40" s="1" t="str">
        <f t="shared" si="0"/>
        <v>02406911202</v>
      </c>
      <c r="C40" s="1" t="s">
        <v>13</v>
      </c>
      <c r="D40" s="1" t="s">
        <v>37</v>
      </c>
      <c r="E40" s="1" t="s">
        <v>158</v>
      </c>
      <c r="F40" s="1" t="s">
        <v>117</v>
      </c>
      <c r="G40" s="1" t="str">
        <f>"01607530209"</f>
        <v>01607530209</v>
      </c>
      <c r="I40" s="1" t="s">
        <v>159</v>
      </c>
      <c r="L40" s="1" t="s">
        <v>44</v>
      </c>
      <c r="M40" s="1" t="s">
        <v>160</v>
      </c>
      <c r="AG40" s="1" t="s">
        <v>124</v>
      </c>
      <c r="AH40" s="2">
        <v>44927</v>
      </c>
      <c r="AI40" s="2">
        <v>45046</v>
      </c>
      <c r="AJ40" s="2">
        <v>44927</v>
      </c>
    </row>
    <row r="41" spans="1:36">
      <c r="A41" s="1" t="str">
        <f>"ZA53951889"</f>
        <v>ZA53951889</v>
      </c>
      <c r="B41" s="1" t="str">
        <f t="shared" si="0"/>
        <v>02406911202</v>
      </c>
      <c r="C41" s="1" t="s">
        <v>13</v>
      </c>
      <c r="D41" s="1" t="s">
        <v>37</v>
      </c>
      <c r="E41" s="1" t="s">
        <v>161</v>
      </c>
      <c r="F41" s="1" t="s">
        <v>117</v>
      </c>
      <c r="G41" s="1" t="str">
        <f>"01368670384"</f>
        <v>01368670384</v>
      </c>
      <c r="I41" s="1" t="s">
        <v>162</v>
      </c>
      <c r="L41" s="1" t="s">
        <v>44</v>
      </c>
      <c r="M41" s="1" t="s">
        <v>163</v>
      </c>
      <c r="AG41" s="1" t="s">
        <v>124</v>
      </c>
      <c r="AH41" s="2">
        <v>44927</v>
      </c>
      <c r="AI41" s="2">
        <v>45046</v>
      </c>
      <c r="AJ41" s="2">
        <v>44927</v>
      </c>
    </row>
    <row r="42" spans="1:36">
      <c r="A42" s="1" t="str">
        <f>"Z3D3959A5C"</f>
        <v>Z3D3959A5C</v>
      </c>
      <c r="B42" s="1" t="str">
        <f t="shared" si="0"/>
        <v>02406911202</v>
      </c>
      <c r="C42" s="1" t="s">
        <v>13</v>
      </c>
      <c r="D42" s="1" t="s">
        <v>37</v>
      </c>
      <c r="E42" s="1" t="s">
        <v>164</v>
      </c>
      <c r="F42" s="1" t="s">
        <v>165</v>
      </c>
      <c r="G42" s="1" t="str">
        <f>"09238800156"</f>
        <v>09238800156</v>
      </c>
      <c r="I42" s="1" t="s">
        <v>88</v>
      </c>
      <c r="L42" s="1" t="s">
        <v>44</v>
      </c>
      <c r="M42" s="1" t="s">
        <v>166</v>
      </c>
      <c r="AG42" s="1" t="s">
        <v>124</v>
      </c>
      <c r="AH42" s="2">
        <v>44927</v>
      </c>
      <c r="AI42" s="2">
        <v>45046</v>
      </c>
      <c r="AJ42" s="2">
        <v>44927</v>
      </c>
    </row>
    <row r="43" spans="1:36">
      <c r="A43" s="1" t="str">
        <f>"Z6C39518DC"</f>
        <v>Z6C39518DC</v>
      </c>
      <c r="B43" s="1" t="str">
        <f t="shared" si="0"/>
        <v>02406911202</v>
      </c>
      <c r="C43" s="1" t="s">
        <v>13</v>
      </c>
      <c r="D43" s="1" t="s">
        <v>37</v>
      </c>
      <c r="E43" s="1" t="s">
        <v>167</v>
      </c>
      <c r="F43" s="1" t="s">
        <v>117</v>
      </c>
      <c r="G43" s="1" t="str">
        <f>"11489570967"</f>
        <v>11489570967</v>
      </c>
      <c r="I43" s="1" t="s">
        <v>168</v>
      </c>
      <c r="L43" s="1" t="s">
        <v>44</v>
      </c>
      <c r="M43" s="1" t="s">
        <v>169</v>
      </c>
      <c r="AG43" s="1" t="s">
        <v>124</v>
      </c>
      <c r="AH43" s="2">
        <v>44927</v>
      </c>
      <c r="AI43" s="2">
        <v>45046</v>
      </c>
      <c r="AJ43" s="2">
        <v>44927</v>
      </c>
    </row>
    <row r="44" spans="1:36">
      <c r="A44" s="1" t="str">
        <f>"9581116B09"</f>
        <v>9581116B09</v>
      </c>
      <c r="B44" s="1" t="str">
        <f t="shared" si="0"/>
        <v>02406911202</v>
      </c>
      <c r="C44" s="1" t="s">
        <v>13</v>
      </c>
      <c r="D44" s="1" t="s">
        <v>37</v>
      </c>
      <c r="E44" s="1" t="s">
        <v>170</v>
      </c>
      <c r="F44" s="1" t="s">
        <v>117</v>
      </c>
      <c r="G44" s="1" t="str">
        <f>"01140030360"</f>
        <v>01140030360</v>
      </c>
      <c r="I44" s="1" t="s">
        <v>171</v>
      </c>
      <c r="L44" s="1" t="s">
        <v>44</v>
      </c>
      <c r="M44" s="1" t="s">
        <v>172</v>
      </c>
      <c r="AG44" s="1" t="s">
        <v>124</v>
      </c>
      <c r="AH44" s="2">
        <v>44927</v>
      </c>
      <c r="AI44" s="2">
        <v>45107</v>
      </c>
      <c r="AJ44" s="2">
        <v>44927</v>
      </c>
    </row>
    <row r="45" spans="1:36">
      <c r="A45" s="1" t="str">
        <f>"94447863F8"</f>
        <v>94447863F8</v>
      </c>
      <c r="B45" s="1" t="str">
        <f t="shared" si="0"/>
        <v>02406911202</v>
      </c>
      <c r="C45" s="1" t="s">
        <v>13</v>
      </c>
      <c r="D45" s="1" t="s">
        <v>37</v>
      </c>
      <c r="E45" s="1" t="s">
        <v>173</v>
      </c>
      <c r="F45" s="1" t="s">
        <v>39</v>
      </c>
      <c r="G45" s="1" t="str">
        <f>"02693431203"</f>
        <v>02693431203</v>
      </c>
      <c r="I45" s="1" t="s">
        <v>174</v>
      </c>
      <c r="L45" s="1" t="s">
        <v>44</v>
      </c>
      <c r="M45" s="1" t="s">
        <v>175</v>
      </c>
      <c r="AG45" s="1" t="s">
        <v>124</v>
      </c>
      <c r="AH45" s="2">
        <v>44927</v>
      </c>
      <c r="AI45" s="2">
        <v>45291</v>
      </c>
      <c r="AJ45" s="2">
        <v>44927</v>
      </c>
    </row>
    <row r="46" spans="1:36">
      <c r="A46" s="1" t="str">
        <f>"9581135AB7"</f>
        <v>9581135AB7</v>
      </c>
      <c r="B46" s="1" t="str">
        <f t="shared" si="0"/>
        <v>02406911202</v>
      </c>
      <c r="C46" s="1" t="s">
        <v>13</v>
      </c>
      <c r="D46" s="1" t="s">
        <v>37</v>
      </c>
      <c r="E46" s="1" t="s">
        <v>176</v>
      </c>
      <c r="F46" s="1" t="s">
        <v>117</v>
      </c>
      <c r="G46" s="1" t="str">
        <f>"10994940152"</f>
        <v>10994940152</v>
      </c>
      <c r="I46" s="1" t="s">
        <v>177</v>
      </c>
      <c r="L46" s="1" t="s">
        <v>44</v>
      </c>
      <c r="M46" s="1" t="s">
        <v>178</v>
      </c>
      <c r="AG46" s="1" t="s">
        <v>124</v>
      </c>
      <c r="AH46" s="2">
        <v>44927</v>
      </c>
      <c r="AI46" s="2">
        <v>45107</v>
      </c>
      <c r="AJ46" s="2">
        <v>44927</v>
      </c>
    </row>
    <row r="47" spans="1:36">
      <c r="A47" s="1" t="str">
        <f>"9558219BD5"</f>
        <v>9558219BD5</v>
      </c>
      <c r="B47" s="1" t="str">
        <f t="shared" si="0"/>
        <v>02406911202</v>
      </c>
      <c r="C47" s="1" t="s">
        <v>13</v>
      </c>
      <c r="D47" s="1" t="s">
        <v>37</v>
      </c>
      <c r="E47" s="1" t="s">
        <v>121</v>
      </c>
      <c r="F47" s="1" t="s">
        <v>117</v>
      </c>
      <c r="G47" s="1" t="str">
        <f>"07179150151"</f>
        <v>07179150151</v>
      </c>
      <c r="I47" s="1" t="s">
        <v>179</v>
      </c>
      <c r="L47" s="1" t="s">
        <v>44</v>
      </c>
      <c r="M47" s="1" t="s">
        <v>180</v>
      </c>
      <c r="AG47" s="1" t="s">
        <v>124</v>
      </c>
      <c r="AH47" s="2">
        <v>44927</v>
      </c>
      <c r="AI47" s="2">
        <v>45199</v>
      </c>
      <c r="AJ47" s="2">
        <v>44927</v>
      </c>
    </row>
    <row r="48" spans="1:36">
      <c r="A48" s="1" t="str">
        <f>"95278495B9"</f>
        <v>95278495B9</v>
      </c>
      <c r="B48" s="1" t="str">
        <f t="shared" si="0"/>
        <v>02406911202</v>
      </c>
      <c r="C48" s="1" t="s">
        <v>13</v>
      </c>
      <c r="D48" s="1" t="s">
        <v>37</v>
      </c>
      <c r="E48" s="1" t="s">
        <v>181</v>
      </c>
      <c r="F48" s="1" t="s">
        <v>39</v>
      </c>
      <c r="G48" s="1" t="str">
        <f>"00795170158"</f>
        <v>00795170158</v>
      </c>
      <c r="I48" s="1" t="s">
        <v>182</v>
      </c>
      <c r="L48" s="1" t="s">
        <v>44</v>
      </c>
      <c r="M48" s="1" t="s">
        <v>183</v>
      </c>
      <c r="AG48" s="1" t="s">
        <v>124</v>
      </c>
      <c r="AH48" s="2">
        <v>44927</v>
      </c>
      <c r="AI48" s="2">
        <v>45291</v>
      </c>
      <c r="AJ48" s="2">
        <v>44927</v>
      </c>
    </row>
    <row r="49" spans="1:36">
      <c r="A49" s="1" t="str">
        <f>"9570008C6C"</f>
        <v>9570008C6C</v>
      </c>
      <c r="B49" s="1" t="str">
        <f t="shared" si="0"/>
        <v>02406911202</v>
      </c>
      <c r="C49" s="1" t="s">
        <v>13</v>
      </c>
      <c r="D49" s="1" t="s">
        <v>37</v>
      </c>
      <c r="E49" s="1" t="s">
        <v>184</v>
      </c>
      <c r="F49" s="1" t="s">
        <v>39</v>
      </c>
      <c r="G49" s="1" t="str">
        <f>"00962280590"</f>
        <v>00962280590</v>
      </c>
      <c r="I49" s="1" t="s">
        <v>185</v>
      </c>
      <c r="L49" s="1" t="s">
        <v>44</v>
      </c>
      <c r="M49" s="1" t="s">
        <v>186</v>
      </c>
      <c r="AG49" s="1" t="s">
        <v>124</v>
      </c>
      <c r="AH49" s="2">
        <v>44927</v>
      </c>
      <c r="AI49" s="2">
        <v>45260</v>
      </c>
      <c r="AJ49" s="2">
        <v>44927</v>
      </c>
    </row>
    <row r="50" spans="1:36">
      <c r="A50" s="1" t="str">
        <f>"94447473C9"</f>
        <v>94447473C9</v>
      </c>
      <c r="B50" s="1" t="str">
        <f t="shared" si="0"/>
        <v>02406911202</v>
      </c>
      <c r="C50" s="1" t="s">
        <v>13</v>
      </c>
      <c r="D50" s="1" t="s">
        <v>37</v>
      </c>
      <c r="E50" s="1" t="s">
        <v>187</v>
      </c>
      <c r="F50" s="1" t="s">
        <v>39</v>
      </c>
      <c r="G50" s="1" t="str">
        <f>"00672690377"</f>
        <v>00672690377</v>
      </c>
      <c r="I50" s="1" t="s">
        <v>188</v>
      </c>
      <c r="L50" s="1" t="s">
        <v>44</v>
      </c>
      <c r="M50" s="1" t="s">
        <v>189</v>
      </c>
      <c r="AG50" s="1" t="s">
        <v>124</v>
      </c>
      <c r="AH50" s="2">
        <v>44927</v>
      </c>
      <c r="AI50" s="2">
        <v>45291</v>
      </c>
      <c r="AJ50" s="2">
        <v>44927</v>
      </c>
    </row>
    <row r="51" spans="1:36">
      <c r="A51" s="1" t="str">
        <f>"9544839A4F"</f>
        <v>9544839A4F</v>
      </c>
      <c r="B51" s="1" t="str">
        <f t="shared" si="0"/>
        <v>02406911202</v>
      </c>
      <c r="C51" s="1" t="s">
        <v>13</v>
      </c>
      <c r="D51" s="1" t="s">
        <v>37</v>
      </c>
      <c r="E51" s="1" t="s">
        <v>144</v>
      </c>
      <c r="F51" s="1" t="s">
        <v>117</v>
      </c>
      <c r="G51" s="1" t="str">
        <f>"00674840152"</f>
        <v>00674840152</v>
      </c>
      <c r="I51" s="1" t="s">
        <v>190</v>
      </c>
      <c r="L51" s="1" t="s">
        <v>44</v>
      </c>
      <c r="M51" s="1" t="s">
        <v>191</v>
      </c>
      <c r="AG51" s="1" t="s">
        <v>124</v>
      </c>
      <c r="AH51" s="2">
        <v>44927</v>
      </c>
      <c r="AI51" s="2">
        <v>45260</v>
      </c>
      <c r="AJ51" s="2">
        <v>44927</v>
      </c>
    </row>
    <row r="52" spans="1:36">
      <c r="A52" s="1" t="str">
        <f>"9544896959"</f>
        <v>9544896959</v>
      </c>
      <c r="B52" s="1" t="str">
        <f t="shared" si="0"/>
        <v>02406911202</v>
      </c>
      <c r="C52" s="1" t="s">
        <v>13</v>
      </c>
      <c r="D52" s="1" t="s">
        <v>37</v>
      </c>
      <c r="E52" s="1" t="s">
        <v>144</v>
      </c>
      <c r="F52" s="1" t="s">
        <v>117</v>
      </c>
      <c r="G52" s="1" t="str">
        <f>"11206730159"</f>
        <v>11206730159</v>
      </c>
      <c r="I52" s="1" t="s">
        <v>192</v>
      </c>
      <c r="L52" s="1" t="s">
        <v>44</v>
      </c>
      <c r="M52" s="1" t="s">
        <v>193</v>
      </c>
      <c r="AG52" s="1" t="s">
        <v>124</v>
      </c>
      <c r="AH52" s="2">
        <v>44927</v>
      </c>
      <c r="AI52" s="2">
        <v>45260</v>
      </c>
      <c r="AJ52" s="2">
        <v>44927</v>
      </c>
    </row>
    <row r="53" spans="1:36">
      <c r="A53" s="1" t="str">
        <f>"9545213EF0"</f>
        <v>9545213EF0</v>
      </c>
      <c r="B53" s="1" t="str">
        <f t="shared" si="0"/>
        <v>02406911202</v>
      </c>
      <c r="C53" s="1" t="s">
        <v>13</v>
      </c>
      <c r="D53" s="1" t="s">
        <v>37</v>
      </c>
      <c r="E53" s="1" t="s">
        <v>144</v>
      </c>
      <c r="F53" s="1" t="s">
        <v>117</v>
      </c>
      <c r="G53" s="1" t="str">
        <f>"02812360101"</f>
        <v>02812360101</v>
      </c>
      <c r="I53" s="1" t="s">
        <v>194</v>
      </c>
      <c r="L53" s="1" t="s">
        <v>44</v>
      </c>
      <c r="M53" s="1" t="s">
        <v>195</v>
      </c>
      <c r="AG53" s="1" t="s">
        <v>124</v>
      </c>
      <c r="AH53" s="2">
        <v>44927</v>
      </c>
      <c r="AI53" s="2">
        <v>45260</v>
      </c>
      <c r="AJ53" s="2">
        <v>44927</v>
      </c>
    </row>
    <row r="54" spans="1:36">
      <c r="A54" s="1" t="str">
        <f>"9545250D79"</f>
        <v>9545250D79</v>
      </c>
      <c r="B54" s="1" t="str">
        <f t="shared" si="0"/>
        <v>02406911202</v>
      </c>
      <c r="C54" s="1" t="s">
        <v>13</v>
      </c>
      <c r="D54" s="1" t="s">
        <v>37</v>
      </c>
      <c r="E54" s="1" t="s">
        <v>144</v>
      </c>
      <c r="F54" s="1" t="s">
        <v>117</v>
      </c>
      <c r="G54" s="1" t="str">
        <f>"09238800156"</f>
        <v>09238800156</v>
      </c>
      <c r="I54" s="1" t="s">
        <v>88</v>
      </c>
      <c r="L54" s="1" t="s">
        <v>44</v>
      </c>
      <c r="M54" s="1" t="s">
        <v>196</v>
      </c>
      <c r="AG54" s="1" t="s">
        <v>124</v>
      </c>
      <c r="AH54" s="2">
        <v>44927</v>
      </c>
      <c r="AI54" s="2">
        <v>45260</v>
      </c>
      <c r="AJ54" s="2">
        <v>44927</v>
      </c>
    </row>
    <row r="55" spans="1:36">
      <c r="A55" s="1" t="str">
        <f>"954527956A"</f>
        <v>954527956A</v>
      </c>
      <c r="B55" s="1" t="str">
        <f t="shared" si="0"/>
        <v>02406911202</v>
      </c>
      <c r="C55" s="1" t="s">
        <v>13</v>
      </c>
      <c r="D55" s="1" t="s">
        <v>37</v>
      </c>
      <c r="E55" s="1" t="s">
        <v>144</v>
      </c>
      <c r="F55" s="1" t="s">
        <v>117</v>
      </c>
      <c r="G55" s="1" t="str">
        <f>"06324460150"</f>
        <v>06324460150</v>
      </c>
      <c r="I55" s="1" t="s">
        <v>197</v>
      </c>
      <c r="L55" s="1" t="s">
        <v>44</v>
      </c>
      <c r="M55" s="1" t="s">
        <v>198</v>
      </c>
      <c r="AG55" s="1" t="s">
        <v>124</v>
      </c>
      <c r="AH55" s="2">
        <v>44927</v>
      </c>
      <c r="AI55" s="2">
        <v>45260</v>
      </c>
      <c r="AJ55" s="2">
        <v>44927</v>
      </c>
    </row>
    <row r="56" spans="1:36">
      <c r="A56" s="1" t="str">
        <f>"95453396ED"</f>
        <v>95453396ED</v>
      </c>
      <c r="B56" s="1" t="str">
        <f t="shared" si="0"/>
        <v>02406911202</v>
      </c>
      <c r="C56" s="1" t="s">
        <v>13</v>
      </c>
      <c r="D56" s="1" t="s">
        <v>37</v>
      </c>
      <c r="E56" s="1" t="s">
        <v>144</v>
      </c>
      <c r="F56" s="1" t="s">
        <v>117</v>
      </c>
      <c r="G56" s="1" t="str">
        <f>"02160570426"</f>
        <v>02160570426</v>
      </c>
      <c r="I56" s="1" t="s">
        <v>199</v>
      </c>
      <c r="L56" s="1" t="s">
        <v>44</v>
      </c>
      <c r="M56" s="1" t="s">
        <v>200</v>
      </c>
      <c r="AG56" s="1" t="s">
        <v>124</v>
      </c>
      <c r="AH56" s="2">
        <v>44927</v>
      </c>
      <c r="AI56" s="2">
        <v>45260</v>
      </c>
      <c r="AJ56" s="2">
        <v>44927</v>
      </c>
    </row>
    <row r="57" spans="1:36">
      <c r="A57" s="1" t="str">
        <f>"9545308D56"</f>
        <v>9545308D56</v>
      </c>
      <c r="B57" s="1" t="str">
        <f t="shared" si="0"/>
        <v>02406911202</v>
      </c>
      <c r="C57" s="1" t="s">
        <v>13</v>
      </c>
      <c r="D57" s="1" t="s">
        <v>37</v>
      </c>
      <c r="E57" s="1" t="s">
        <v>144</v>
      </c>
      <c r="F57" s="1" t="s">
        <v>117</v>
      </c>
      <c r="G57" s="1" t="str">
        <f>"07279701002"</f>
        <v>07279701002</v>
      </c>
      <c r="I57" s="1" t="s">
        <v>96</v>
      </c>
      <c r="L57" s="1" t="s">
        <v>44</v>
      </c>
      <c r="M57" s="1" t="s">
        <v>147</v>
      </c>
      <c r="AG57" s="1" t="s">
        <v>124</v>
      </c>
      <c r="AH57" s="2">
        <v>44927</v>
      </c>
      <c r="AI57" s="2">
        <v>45260</v>
      </c>
      <c r="AJ57" s="2">
        <v>44927</v>
      </c>
    </row>
    <row r="58" spans="1:36">
      <c r="A58" s="1" t="str">
        <f>"95811284F2"</f>
        <v>95811284F2</v>
      </c>
      <c r="B58" s="1" t="str">
        <f t="shared" si="0"/>
        <v>02406911202</v>
      </c>
      <c r="C58" s="1" t="s">
        <v>13</v>
      </c>
      <c r="D58" s="1" t="s">
        <v>37</v>
      </c>
      <c r="E58" s="1" t="s">
        <v>176</v>
      </c>
      <c r="F58" s="1" t="s">
        <v>117</v>
      </c>
      <c r="G58" s="1" t="str">
        <f>"11206730159"</f>
        <v>11206730159</v>
      </c>
      <c r="I58" s="1" t="s">
        <v>192</v>
      </c>
      <c r="L58" s="1" t="s">
        <v>44</v>
      </c>
      <c r="M58" s="1" t="s">
        <v>201</v>
      </c>
      <c r="AG58" s="1" t="s">
        <v>124</v>
      </c>
      <c r="AH58" s="2">
        <v>44927</v>
      </c>
      <c r="AI58" s="2">
        <v>45107</v>
      </c>
      <c r="AJ58" s="2">
        <v>44927</v>
      </c>
    </row>
    <row r="59" spans="1:36">
      <c r="A59" s="1" t="str">
        <f>"ZCE395A01B"</f>
        <v>ZCE395A01B</v>
      </c>
      <c r="B59" s="1" t="str">
        <f t="shared" si="0"/>
        <v>02406911202</v>
      </c>
      <c r="C59" s="1" t="s">
        <v>13</v>
      </c>
      <c r="D59" s="1" t="s">
        <v>37</v>
      </c>
      <c r="E59" s="1" t="s">
        <v>176</v>
      </c>
      <c r="F59" s="1" t="s">
        <v>117</v>
      </c>
      <c r="G59" s="1" t="str">
        <f>"07123400157"</f>
        <v>07123400157</v>
      </c>
      <c r="I59" s="1" t="s">
        <v>76</v>
      </c>
      <c r="L59" s="1" t="s">
        <v>44</v>
      </c>
      <c r="M59" s="1" t="s">
        <v>202</v>
      </c>
      <c r="AG59" s="1" t="s">
        <v>124</v>
      </c>
      <c r="AH59" s="2">
        <v>44927</v>
      </c>
      <c r="AI59" s="2">
        <v>45107</v>
      </c>
      <c r="AJ59" s="2">
        <v>44927</v>
      </c>
    </row>
    <row r="60" spans="1:36">
      <c r="A60" s="1" t="str">
        <f>"ZA3395A048"</f>
        <v>ZA3395A048</v>
      </c>
      <c r="B60" s="1" t="str">
        <f t="shared" si="0"/>
        <v>02406911202</v>
      </c>
      <c r="C60" s="1" t="s">
        <v>13</v>
      </c>
      <c r="D60" s="1" t="s">
        <v>37</v>
      </c>
      <c r="E60" s="1" t="s">
        <v>176</v>
      </c>
      <c r="F60" s="1" t="s">
        <v>117</v>
      </c>
      <c r="G60" s="1" t="str">
        <f>"01990200170"</f>
        <v>01990200170</v>
      </c>
      <c r="I60" s="1" t="s">
        <v>203</v>
      </c>
      <c r="L60" s="1" t="s">
        <v>44</v>
      </c>
      <c r="M60" s="1" t="s">
        <v>204</v>
      </c>
      <c r="AG60" s="1" t="s">
        <v>124</v>
      </c>
      <c r="AH60" s="2">
        <v>44927</v>
      </c>
      <c r="AI60" s="2">
        <v>45107</v>
      </c>
      <c r="AJ60" s="2">
        <v>44927</v>
      </c>
    </row>
    <row r="61" spans="1:36">
      <c r="A61" s="1" t="str">
        <f>"Z1A397AC2F"</f>
        <v>Z1A397AC2F</v>
      </c>
      <c r="B61" s="1" t="str">
        <f t="shared" si="0"/>
        <v>02406911202</v>
      </c>
      <c r="C61" s="1" t="s">
        <v>13</v>
      </c>
      <c r="D61" s="1" t="s">
        <v>205</v>
      </c>
      <c r="E61" s="1" t="s">
        <v>206</v>
      </c>
      <c r="F61" s="1" t="s">
        <v>49</v>
      </c>
      <c r="G61" s="1" t="str">
        <f>"03740340371"</f>
        <v>03740340371</v>
      </c>
      <c r="I61" s="1" t="s">
        <v>207</v>
      </c>
      <c r="L61" s="1" t="s">
        <v>44</v>
      </c>
      <c r="M61" s="1" t="s">
        <v>208</v>
      </c>
      <c r="AG61" s="1" t="s">
        <v>124</v>
      </c>
      <c r="AH61" s="2">
        <v>44938</v>
      </c>
      <c r="AI61" s="2">
        <v>44938</v>
      </c>
      <c r="AJ61" s="2">
        <v>44938</v>
      </c>
    </row>
    <row r="62" spans="1:36">
      <c r="A62" s="1" t="str">
        <f>"Z1B3965D22"</f>
        <v>Z1B3965D22</v>
      </c>
      <c r="B62" s="1" t="str">
        <f t="shared" si="0"/>
        <v>02406911202</v>
      </c>
      <c r="C62" s="1" t="s">
        <v>13</v>
      </c>
      <c r="D62" s="1" t="s">
        <v>205</v>
      </c>
      <c r="E62" s="1" t="s">
        <v>209</v>
      </c>
      <c r="F62" s="1" t="s">
        <v>49</v>
      </c>
      <c r="G62" s="1" t="str">
        <f>"01489471001"</f>
        <v>01489471001</v>
      </c>
      <c r="I62" s="1" t="s">
        <v>210</v>
      </c>
      <c r="L62" s="1" t="s">
        <v>44</v>
      </c>
      <c r="M62" s="1" t="s">
        <v>211</v>
      </c>
      <c r="AG62" s="1" t="s">
        <v>212</v>
      </c>
      <c r="AH62" s="2">
        <v>44935</v>
      </c>
      <c r="AI62" s="2">
        <v>44957</v>
      </c>
      <c r="AJ62" s="2">
        <v>44935</v>
      </c>
    </row>
    <row r="63" spans="1:36">
      <c r="A63" s="1" t="str">
        <f>"95264589D4"</f>
        <v>95264589D4</v>
      </c>
      <c r="B63" s="1" t="str">
        <f t="shared" si="0"/>
        <v>02406911202</v>
      </c>
      <c r="C63" s="1" t="s">
        <v>13</v>
      </c>
      <c r="D63" s="1" t="s">
        <v>37</v>
      </c>
      <c r="E63" s="1" t="s">
        <v>213</v>
      </c>
      <c r="F63" s="1" t="s">
        <v>39</v>
      </c>
      <c r="G63" s="1" t="str">
        <f>"03301251207"</f>
        <v>03301251207</v>
      </c>
      <c r="I63" s="1" t="s">
        <v>214</v>
      </c>
      <c r="L63" s="1" t="s">
        <v>44</v>
      </c>
      <c r="M63" s="1" t="s">
        <v>215</v>
      </c>
      <c r="AG63" s="1" t="s">
        <v>124</v>
      </c>
      <c r="AH63" s="2">
        <v>44927</v>
      </c>
      <c r="AI63" s="2">
        <v>45657</v>
      </c>
      <c r="AJ63" s="2">
        <v>44927</v>
      </c>
    </row>
    <row r="64" spans="1:36">
      <c r="A64" s="1" t="str">
        <f>"9469321AE2"</f>
        <v>9469321AE2</v>
      </c>
      <c r="B64" s="1" t="str">
        <f t="shared" si="0"/>
        <v>02406911202</v>
      </c>
      <c r="C64" s="1" t="s">
        <v>13</v>
      </c>
      <c r="D64" s="1" t="s">
        <v>37</v>
      </c>
      <c r="E64" s="1" t="s">
        <v>216</v>
      </c>
      <c r="F64" s="1" t="s">
        <v>39</v>
      </c>
      <c r="G64" s="1" t="str">
        <f>"03222390159"</f>
        <v>03222390159</v>
      </c>
      <c r="I64" s="1" t="s">
        <v>217</v>
      </c>
      <c r="L64" s="1" t="s">
        <v>44</v>
      </c>
      <c r="M64" s="1" t="s">
        <v>218</v>
      </c>
      <c r="AG64" s="1" t="s">
        <v>124</v>
      </c>
      <c r="AH64" s="2">
        <v>44927</v>
      </c>
      <c r="AI64" s="2">
        <v>45657</v>
      </c>
      <c r="AJ64" s="2">
        <v>44927</v>
      </c>
    </row>
    <row r="65" spans="1:36">
      <c r="A65" s="1" t="str">
        <f>"9539179B87"</f>
        <v>9539179B87</v>
      </c>
      <c r="B65" s="1" t="str">
        <f t="shared" si="0"/>
        <v>02406911202</v>
      </c>
      <c r="C65" s="1" t="s">
        <v>13</v>
      </c>
      <c r="D65" s="1" t="s">
        <v>37</v>
      </c>
      <c r="E65" s="1" t="s">
        <v>219</v>
      </c>
      <c r="F65" s="1" t="s">
        <v>99</v>
      </c>
      <c r="G65" s="1" t="str">
        <f>"04043691205"</f>
        <v>04043691205</v>
      </c>
      <c r="I65" s="1" t="s">
        <v>220</v>
      </c>
      <c r="L65" s="1" t="s">
        <v>44</v>
      </c>
      <c r="M65" s="1" t="s">
        <v>221</v>
      </c>
      <c r="AG65" s="1" t="s">
        <v>124</v>
      </c>
      <c r="AH65" s="2">
        <v>44927</v>
      </c>
      <c r="AI65" s="2">
        <v>46022</v>
      </c>
      <c r="AJ65" s="2">
        <v>44927</v>
      </c>
    </row>
    <row r="66" spans="1:36">
      <c r="A66" s="1" t="str">
        <f>"9519807940"</f>
        <v>9519807940</v>
      </c>
      <c r="B66" s="1" t="str">
        <f t="shared" ref="B66:B129" si="1">"02406911202"</f>
        <v>02406911202</v>
      </c>
      <c r="C66" s="1" t="s">
        <v>13</v>
      </c>
      <c r="D66" s="1" t="s">
        <v>37</v>
      </c>
      <c r="E66" s="1" t="s">
        <v>222</v>
      </c>
      <c r="F66" s="1" t="s">
        <v>49</v>
      </c>
      <c r="G66" s="1" t="str">
        <f>"02221310044"</f>
        <v>02221310044</v>
      </c>
      <c r="I66" s="1" t="s">
        <v>223</v>
      </c>
      <c r="L66" s="1" t="s">
        <v>44</v>
      </c>
      <c r="M66" s="1" t="s">
        <v>224</v>
      </c>
      <c r="AG66" s="1" t="s">
        <v>124</v>
      </c>
      <c r="AH66" s="2">
        <v>44927</v>
      </c>
      <c r="AI66" s="2">
        <v>45292</v>
      </c>
      <c r="AJ66" s="2">
        <v>44927</v>
      </c>
    </row>
    <row r="67" spans="1:36">
      <c r="A67" s="1" t="str">
        <f>"9573422DBE"</f>
        <v>9573422DBE</v>
      </c>
      <c r="B67" s="1" t="str">
        <f t="shared" si="1"/>
        <v>02406911202</v>
      </c>
      <c r="C67" s="1" t="s">
        <v>13</v>
      </c>
      <c r="D67" s="1" t="s">
        <v>37</v>
      </c>
      <c r="E67" s="1" t="s">
        <v>225</v>
      </c>
      <c r="F67" s="1" t="s">
        <v>99</v>
      </c>
      <c r="G67" s="1" t="str">
        <f>"03411480373"</f>
        <v>03411480373</v>
      </c>
      <c r="I67" s="1" t="s">
        <v>110</v>
      </c>
      <c r="L67" s="1" t="s">
        <v>44</v>
      </c>
      <c r="M67" s="1" t="s">
        <v>112</v>
      </c>
      <c r="AG67" s="1" t="s">
        <v>124</v>
      </c>
      <c r="AH67" s="2">
        <v>44927</v>
      </c>
      <c r="AI67" s="2">
        <v>45107</v>
      </c>
      <c r="AJ67" s="2">
        <v>44927</v>
      </c>
    </row>
    <row r="68" spans="1:36">
      <c r="A68" s="1" t="str">
        <f>"9550019CFA"</f>
        <v>9550019CFA</v>
      </c>
      <c r="B68" s="1" t="str">
        <f t="shared" si="1"/>
        <v>02406911202</v>
      </c>
      <c r="C68" s="1" t="s">
        <v>13</v>
      </c>
      <c r="D68" s="1" t="s">
        <v>37</v>
      </c>
      <c r="E68" s="1" t="s">
        <v>226</v>
      </c>
      <c r="F68" s="1" t="s">
        <v>99</v>
      </c>
      <c r="G68" s="1" t="str">
        <f>"00311250377"</f>
        <v>00311250377</v>
      </c>
      <c r="I68" s="1" t="s">
        <v>227</v>
      </c>
      <c r="L68" s="1" t="s">
        <v>44</v>
      </c>
      <c r="M68" s="1" t="s">
        <v>228</v>
      </c>
      <c r="AG68" s="1" t="s">
        <v>124</v>
      </c>
      <c r="AH68" s="2">
        <v>44927</v>
      </c>
      <c r="AI68" s="2">
        <v>46022</v>
      </c>
      <c r="AJ68" s="2">
        <v>44927</v>
      </c>
    </row>
    <row r="69" spans="1:36">
      <c r="A69" s="1" t="str">
        <f>"95467589EB"</f>
        <v>95467589EB</v>
      </c>
      <c r="B69" s="1" t="str">
        <f t="shared" si="1"/>
        <v>02406911202</v>
      </c>
      <c r="C69" s="1" t="s">
        <v>13</v>
      </c>
      <c r="D69" s="1" t="s">
        <v>37</v>
      </c>
      <c r="E69" s="1" t="s">
        <v>229</v>
      </c>
      <c r="F69" s="1" t="s">
        <v>39</v>
      </c>
      <c r="G69" s="1" t="str">
        <f>"02402671206"</f>
        <v>02402671206</v>
      </c>
      <c r="I69" s="1" t="s">
        <v>230</v>
      </c>
      <c r="J69" s="1" t="s">
        <v>231</v>
      </c>
      <c r="K69" s="1" t="s">
        <v>51</v>
      </c>
      <c r="AJ69" s="2">
        <v>44927</v>
      </c>
    </row>
    <row r="70" spans="1:36">
      <c r="A70" s="1" t="str">
        <f>"95467589EB"</f>
        <v>95467589EB</v>
      </c>
      <c r="B70" s="1" t="str">
        <f t="shared" si="1"/>
        <v>02406911202</v>
      </c>
      <c r="C70" s="1" t="s">
        <v>13</v>
      </c>
      <c r="D70" s="1" t="s">
        <v>37</v>
      </c>
      <c r="E70" s="1" t="s">
        <v>229</v>
      </c>
      <c r="F70" s="1" t="s">
        <v>39</v>
      </c>
      <c r="G70" s="1" t="str">
        <f>"00886090372"</f>
        <v>00886090372</v>
      </c>
      <c r="I70" s="1" t="s">
        <v>232</v>
      </c>
      <c r="J70" s="1" t="s">
        <v>231</v>
      </c>
      <c r="K70" s="1" t="s">
        <v>53</v>
      </c>
      <c r="AJ70" s="2">
        <v>44927</v>
      </c>
    </row>
    <row r="71" spans="1:36">
      <c r="A71" s="1" t="str">
        <f>"95467589EB"</f>
        <v>95467589EB</v>
      </c>
      <c r="B71" s="1" t="str">
        <f t="shared" si="1"/>
        <v>02406911202</v>
      </c>
      <c r="C71" s="1" t="s">
        <v>13</v>
      </c>
      <c r="D71" s="1" t="s">
        <v>37</v>
      </c>
      <c r="E71" s="1" t="s">
        <v>229</v>
      </c>
      <c r="F71" s="1" t="s">
        <v>39</v>
      </c>
      <c r="G71" s="1" t="str">
        <f>"00090810383"</f>
        <v>00090810383</v>
      </c>
      <c r="I71" s="1" t="s">
        <v>233</v>
      </c>
      <c r="J71" s="1" t="s">
        <v>231</v>
      </c>
      <c r="K71" s="1" t="s">
        <v>53</v>
      </c>
      <c r="AJ71" s="2">
        <v>44927</v>
      </c>
    </row>
    <row r="72" spans="1:36">
      <c r="A72" s="1" t="str">
        <f>"95467589EB"</f>
        <v>95467589EB</v>
      </c>
      <c r="B72" s="1" t="str">
        <f t="shared" si="1"/>
        <v>02406911202</v>
      </c>
      <c r="C72" s="1" t="s">
        <v>13</v>
      </c>
      <c r="D72" s="1" t="s">
        <v>37</v>
      </c>
      <c r="E72" s="1" t="s">
        <v>229</v>
      </c>
      <c r="F72" s="1" t="s">
        <v>39</v>
      </c>
      <c r="I72" s="1" t="s">
        <v>231</v>
      </c>
      <c r="L72" s="1" t="s">
        <v>44</v>
      </c>
      <c r="M72" s="1" t="s">
        <v>234</v>
      </c>
      <c r="AG72" s="1" t="s">
        <v>124</v>
      </c>
      <c r="AH72" s="2">
        <v>44927</v>
      </c>
      <c r="AI72" s="2">
        <v>45291</v>
      </c>
      <c r="AJ72" s="2">
        <v>44927</v>
      </c>
    </row>
    <row r="73" spans="1:36">
      <c r="A73" s="1" t="str">
        <f>"9444814B11"</f>
        <v>9444814B11</v>
      </c>
      <c r="B73" s="1" t="str">
        <f t="shared" si="1"/>
        <v>02406911202</v>
      </c>
      <c r="C73" s="1" t="s">
        <v>13</v>
      </c>
      <c r="D73" s="1" t="s">
        <v>37</v>
      </c>
      <c r="E73" s="1" t="s">
        <v>235</v>
      </c>
      <c r="F73" s="1" t="s">
        <v>39</v>
      </c>
      <c r="G73" s="1" t="str">
        <f>"01768611202"</f>
        <v>01768611202</v>
      </c>
      <c r="I73" s="1" t="s">
        <v>236</v>
      </c>
      <c r="J73" s="1" t="s">
        <v>237</v>
      </c>
      <c r="K73" s="1" t="s">
        <v>53</v>
      </c>
      <c r="AJ73" s="2">
        <v>44927</v>
      </c>
    </row>
    <row r="74" spans="1:36">
      <c r="A74" s="1" t="str">
        <f>"9444814B11"</f>
        <v>9444814B11</v>
      </c>
      <c r="B74" s="1" t="str">
        <f t="shared" si="1"/>
        <v>02406911202</v>
      </c>
      <c r="C74" s="1" t="s">
        <v>13</v>
      </c>
      <c r="D74" s="1" t="s">
        <v>37</v>
      </c>
      <c r="E74" s="1" t="s">
        <v>235</v>
      </c>
      <c r="F74" s="1" t="s">
        <v>39</v>
      </c>
      <c r="G74" s="1" t="str">
        <f>"00672690377"</f>
        <v>00672690377</v>
      </c>
      <c r="I74" s="1" t="s">
        <v>188</v>
      </c>
      <c r="J74" s="1" t="s">
        <v>237</v>
      </c>
      <c r="K74" s="1" t="s">
        <v>51</v>
      </c>
      <c r="AJ74" s="2">
        <v>44927</v>
      </c>
    </row>
    <row r="75" spans="1:36">
      <c r="A75" s="1" t="str">
        <f>"9444814B11"</f>
        <v>9444814B11</v>
      </c>
      <c r="B75" s="1" t="str">
        <f t="shared" si="1"/>
        <v>02406911202</v>
      </c>
      <c r="C75" s="1" t="s">
        <v>13</v>
      </c>
      <c r="D75" s="1" t="s">
        <v>37</v>
      </c>
      <c r="E75" s="1" t="s">
        <v>235</v>
      </c>
      <c r="F75" s="1" t="s">
        <v>39</v>
      </c>
      <c r="I75" s="1" t="s">
        <v>237</v>
      </c>
      <c r="L75" s="1" t="s">
        <v>44</v>
      </c>
      <c r="M75" s="1" t="s">
        <v>238</v>
      </c>
      <c r="AG75" s="1" t="s">
        <v>124</v>
      </c>
      <c r="AH75" s="2">
        <v>44927</v>
      </c>
      <c r="AI75" s="2">
        <v>45291</v>
      </c>
      <c r="AJ75" s="2">
        <v>44927</v>
      </c>
    </row>
    <row r="76" spans="1:36">
      <c r="A76" s="1" t="str">
        <f>"94447706C3"</f>
        <v>94447706C3</v>
      </c>
      <c r="B76" s="1" t="str">
        <f t="shared" si="1"/>
        <v>02406911202</v>
      </c>
      <c r="C76" s="1" t="s">
        <v>13</v>
      </c>
      <c r="D76" s="1" t="s">
        <v>37</v>
      </c>
      <c r="E76" s="1" t="s">
        <v>239</v>
      </c>
      <c r="F76" s="1" t="s">
        <v>39</v>
      </c>
      <c r="G76" s="1" t="str">
        <f>"02360580373"</f>
        <v>02360580373</v>
      </c>
      <c r="I76" s="1" t="s">
        <v>240</v>
      </c>
      <c r="J76" s="1" t="s">
        <v>241</v>
      </c>
      <c r="K76" s="1" t="s">
        <v>51</v>
      </c>
      <c r="AJ76" s="2">
        <v>44927</v>
      </c>
    </row>
    <row r="77" spans="1:36">
      <c r="A77" s="1" t="str">
        <f>"94447706C3"</f>
        <v>94447706C3</v>
      </c>
      <c r="B77" s="1" t="str">
        <f t="shared" si="1"/>
        <v>02406911202</v>
      </c>
      <c r="C77" s="1" t="s">
        <v>13</v>
      </c>
      <c r="D77" s="1" t="s">
        <v>37</v>
      </c>
      <c r="E77" s="1" t="s">
        <v>239</v>
      </c>
      <c r="F77" s="1" t="s">
        <v>39</v>
      </c>
      <c r="G77" s="1" t="str">
        <f>"00672690377"</f>
        <v>00672690377</v>
      </c>
      <c r="I77" s="1" t="s">
        <v>188</v>
      </c>
      <c r="J77" s="1" t="s">
        <v>241</v>
      </c>
      <c r="K77" s="1" t="s">
        <v>53</v>
      </c>
      <c r="AJ77" s="2">
        <v>44927</v>
      </c>
    </row>
    <row r="78" spans="1:36">
      <c r="A78" s="1" t="str">
        <f>"94447706C3"</f>
        <v>94447706C3</v>
      </c>
      <c r="B78" s="1" t="str">
        <f t="shared" si="1"/>
        <v>02406911202</v>
      </c>
      <c r="C78" s="1" t="s">
        <v>13</v>
      </c>
      <c r="D78" s="1" t="s">
        <v>37</v>
      </c>
      <c r="E78" s="1" t="s">
        <v>239</v>
      </c>
      <c r="F78" s="1" t="s">
        <v>39</v>
      </c>
      <c r="I78" s="1" t="s">
        <v>241</v>
      </c>
      <c r="L78" s="1" t="s">
        <v>44</v>
      </c>
      <c r="M78" s="1" t="s">
        <v>242</v>
      </c>
      <c r="AG78" s="1" t="s">
        <v>124</v>
      </c>
      <c r="AH78" s="2">
        <v>44927</v>
      </c>
      <c r="AI78" s="2">
        <v>45291</v>
      </c>
      <c r="AJ78" s="2">
        <v>44927</v>
      </c>
    </row>
    <row r="79" spans="1:36">
      <c r="A79" s="1" t="str">
        <f>"9444723FF7"</f>
        <v>9444723FF7</v>
      </c>
      <c r="B79" s="1" t="str">
        <f t="shared" si="1"/>
        <v>02406911202</v>
      </c>
      <c r="C79" s="1" t="s">
        <v>13</v>
      </c>
      <c r="D79" s="1" t="s">
        <v>37</v>
      </c>
      <c r="E79" s="1" t="s">
        <v>243</v>
      </c>
      <c r="F79" s="1" t="s">
        <v>39</v>
      </c>
      <c r="G79" s="1" t="str">
        <f>"00672690377"</f>
        <v>00672690377</v>
      </c>
      <c r="I79" s="1" t="s">
        <v>188</v>
      </c>
      <c r="J79" s="1" t="s">
        <v>244</v>
      </c>
      <c r="K79" s="1" t="s">
        <v>51</v>
      </c>
      <c r="AJ79" s="2">
        <v>44927</v>
      </c>
    </row>
    <row r="80" spans="1:36">
      <c r="A80" s="1" t="str">
        <f>"9444723FF7"</f>
        <v>9444723FF7</v>
      </c>
      <c r="B80" s="1" t="str">
        <f t="shared" si="1"/>
        <v>02406911202</v>
      </c>
      <c r="C80" s="1" t="s">
        <v>13</v>
      </c>
      <c r="D80" s="1" t="s">
        <v>37</v>
      </c>
      <c r="E80" s="1" t="s">
        <v>243</v>
      </c>
      <c r="F80" s="1" t="s">
        <v>39</v>
      </c>
      <c r="G80" s="1" t="str">
        <f>"02360580373"</f>
        <v>02360580373</v>
      </c>
      <c r="I80" s="1" t="s">
        <v>240</v>
      </c>
      <c r="J80" s="1" t="s">
        <v>244</v>
      </c>
      <c r="K80" s="1" t="s">
        <v>53</v>
      </c>
      <c r="AJ80" s="2">
        <v>44927</v>
      </c>
    </row>
    <row r="81" spans="1:36">
      <c r="A81" s="1" t="str">
        <f>"9444723FF7"</f>
        <v>9444723FF7</v>
      </c>
      <c r="B81" s="1" t="str">
        <f t="shared" si="1"/>
        <v>02406911202</v>
      </c>
      <c r="C81" s="1" t="s">
        <v>13</v>
      </c>
      <c r="D81" s="1" t="s">
        <v>37</v>
      </c>
      <c r="E81" s="1" t="s">
        <v>243</v>
      </c>
      <c r="F81" s="1" t="s">
        <v>39</v>
      </c>
      <c r="G81" s="1" t="str">
        <f>"01768611202"</f>
        <v>01768611202</v>
      </c>
      <c r="I81" s="1" t="s">
        <v>236</v>
      </c>
      <c r="J81" s="1" t="s">
        <v>244</v>
      </c>
      <c r="K81" s="1" t="s">
        <v>53</v>
      </c>
      <c r="AJ81" s="2">
        <v>44927</v>
      </c>
    </row>
    <row r="82" spans="1:36">
      <c r="A82" s="1" t="str">
        <f>"9444723FF7"</f>
        <v>9444723FF7</v>
      </c>
      <c r="B82" s="1" t="str">
        <f t="shared" si="1"/>
        <v>02406911202</v>
      </c>
      <c r="C82" s="1" t="s">
        <v>13</v>
      </c>
      <c r="D82" s="1" t="s">
        <v>37</v>
      </c>
      <c r="E82" s="1" t="s">
        <v>243</v>
      </c>
      <c r="F82" s="1" t="s">
        <v>39</v>
      </c>
      <c r="I82" s="1" t="s">
        <v>244</v>
      </c>
      <c r="L82" s="1" t="s">
        <v>44</v>
      </c>
      <c r="M82" s="1" t="s">
        <v>245</v>
      </c>
      <c r="AG82" s="1" t="s">
        <v>124</v>
      </c>
      <c r="AH82" s="2">
        <v>44927</v>
      </c>
      <c r="AI82" s="2">
        <v>45291</v>
      </c>
      <c r="AJ82" s="2">
        <v>44927</v>
      </c>
    </row>
    <row r="83" spans="1:36">
      <c r="A83" s="1" t="str">
        <f>"9623620E71"</f>
        <v>9623620E71</v>
      </c>
      <c r="B83" s="1" t="str">
        <f t="shared" si="1"/>
        <v>02406911202</v>
      </c>
      <c r="C83" s="1" t="s">
        <v>13</v>
      </c>
      <c r="D83" s="1" t="s">
        <v>47</v>
      </c>
      <c r="E83" s="1" t="s">
        <v>246</v>
      </c>
      <c r="F83" s="1" t="s">
        <v>39</v>
      </c>
      <c r="H83" s="1" t="str">
        <f>"DE331567510"</f>
        <v>DE331567510</v>
      </c>
      <c r="I83" s="1" t="s">
        <v>247</v>
      </c>
      <c r="L83" s="1" t="s">
        <v>44</v>
      </c>
      <c r="M83" s="1" t="s">
        <v>248</v>
      </c>
      <c r="N83" s="1" t="s">
        <v>249</v>
      </c>
      <c r="O83" s="1" t="s">
        <v>250</v>
      </c>
      <c r="Q83" s="1" t="s">
        <v>251</v>
      </c>
      <c r="AJ83" s="2">
        <v>44952</v>
      </c>
    </row>
    <row r="84" spans="1:36">
      <c r="A84" s="1" t="str">
        <f>"9623862628"</f>
        <v>9623862628</v>
      </c>
      <c r="B84" s="1" t="str">
        <f t="shared" si="1"/>
        <v>02406911202</v>
      </c>
      <c r="C84" s="1" t="s">
        <v>13</v>
      </c>
      <c r="D84" s="1" t="s">
        <v>47</v>
      </c>
      <c r="E84" s="1" t="s">
        <v>252</v>
      </c>
      <c r="F84" s="1" t="s">
        <v>39</v>
      </c>
      <c r="G84" s="1" t="str">
        <f>"02642020156"</f>
        <v>02642020156</v>
      </c>
      <c r="I84" s="1" t="s">
        <v>253</v>
      </c>
      <c r="L84" s="1" t="s">
        <v>44</v>
      </c>
      <c r="M84" s="1" t="s">
        <v>254</v>
      </c>
      <c r="N84" s="1" t="s">
        <v>255</v>
      </c>
      <c r="O84" s="1" t="s">
        <v>256</v>
      </c>
      <c r="Q84" s="1" t="s">
        <v>257</v>
      </c>
      <c r="AJ84" s="2">
        <v>44952</v>
      </c>
    </row>
    <row r="85" spans="1:36">
      <c r="A85" s="1" t="str">
        <f>"96409782BB"</f>
        <v>96409782BB</v>
      </c>
      <c r="B85" s="1" t="str">
        <f t="shared" si="1"/>
        <v>02406911202</v>
      </c>
      <c r="C85" s="1" t="s">
        <v>13</v>
      </c>
      <c r="D85" s="1" t="s">
        <v>47</v>
      </c>
      <c r="E85" s="1" t="s">
        <v>258</v>
      </c>
      <c r="F85" s="1" t="s">
        <v>39</v>
      </c>
      <c r="G85" s="1" t="str">
        <f>"11317290150"</f>
        <v>11317290150</v>
      </c>
      <c r="I85" s="1" t="s">
        <v>259</v>
      </c>
      <c r="L85" s="1" t="s">
        <v>44</v>
      </c>
      <c r="M85" s="1" t="s">
        <v>260</v>
      </c>
      <c r="N85" s="1" t="s">
        <v>261</v>
      </c>
      <c r="S85" s="1" t="s">
        <v>262</v>
      </c>
      <c r="AJ85" s="2">
        <v>44963</v>
      </c>
    </row>
    <row r="86" spans="1:36">
      <c r="A86" s="1" t="str">
        <f>"9639598FE7"</f>
        <v>9639598FE7</v>
      </c>
      <c r="B86" s="1" t="str">
        <f t="shared" si="1"/>
        <v>02406911202</v>
      </c>
      <c r="C86" s="1" t="s">
        <v>13</v>
      </c>
      <c r="D86" s="1" t="s">
        <v>47</v>
      </c>
      <c r="E86" s="1" t="s">
        <v>263</v>
      </c>
      <c r="F86" s="1" t="s">
        <v>39</v>
      </c>
      <c r="G86" s="1" t="str">
        <f>"05688870483"</f>
        <v>05688870483</v>
      </c>
      <c r="I86" s="1" t="s">
        <v>264</v>
      </c>
      <c r="L86" s="1" t="s">
        <v>44</v>
      </c>
      <c r="M86" s="1" t="s">
        <v>265</v>
      </c>
      <c r="N86" s="1" t="s">
        <v>266</v>
      </c>
      <c r="Q86" s="1" t="s">
        <v>267</v>
      </c>
      <c r="AJ86" s="2">
        <v>44960</v>
      </c>
    </row>
    <row r="87" spans="1:36">
      <c r="A87" s="1" t="str">
        <f>"963961806D"</f>
        <v>963961806D</v>
      </c>
      <c r="B87" s="1" t="str">
        <f t="shared" si="1"/>
        <v>02406911202</v>
      </c>
      <c r="C87" s="1" t="s">
        <v>13</v>
      </c>
      <c r="D87" s="1" t="s">
        <v>47</v>
      </c>
      <c r="E87" s="1" t="s">
        <v>263</v>
      </c>
      <c r="F87" s="1" t="s">
        <v>39</v>
      </c>
      <c r="G87" s="1" t="str">
        <f>"00076670595"</f>
        <v>00076670595</v>
      </c>
      <c r="I87" s="1" t="s">
        <v>133</v>
      </c>
      <c r="L87" s="1" t="s">
        <v>44</v>
      </c>
      <c r="M87" s="1" t="s">
        <v>268</v>
      </c>
      <c r="N87" s="1" t="s">
        <v>269</v>
      </c>
      <c r="Q87" s="1" t="s">
        <v>270</v>
      </c>
      <c r="AJ87" s="2">
        <v>44960</v>
      </c>
    </row>
    <row r="88" spans="1:36">
      <c r="A88" s="1" t="str">
        <f>"963965709C"</f>
        <v>963965709C</v>
      </c>
      <c r="B88" s="1" t="str">
        <f t="shared" si="1"/>
        <v>02406911202</v>
      </c>
      <c r="C88" s="1" t="s">
        <v>13</v>
      </c>
      <c r="D88" s="1" t="s">
        <v>47</v>
      </c>
      <c r="E88" s="1" t="s">
        <v>263</v>
      </c>
      <c r="F88" s="1" t="s">
        <v>39</v>
      </c>
      <c r="G88" s="1" t="str">
        <f>"13522771008"</f>
        <v>13522771008</v>
      </c>
      <c r="I88" s="1" t="s">
        <v>271</v>
      </c>
      <c r="L88" s="1" t="s">
        <v>44</v>
      </c>
      <c r="M88" s="1" t="s">
        <v>272</v>
      </c>
      <c r="N88" s="1" t="s">
        <v>273</v>
      </c>
      <c r="Q88" s="1" t="s">
        <v>274</v>
      </c>
      <c r="AJ88" s="2">
        <v>44960</v>
      </c>
    </row>
    <row r="89" spans="1:36">
      <c r="A89" s="1" t="str">
        <f>"9639672CF9"</f>
        <v>9639672CF9</v>
      </c>
      <c r="B89" s="1" t="str">
        <f t="shared" si="1"/>
        <v>02406911202</v>
      </c>
      <c r="C89" s="1" t="s">
        <v>13</v>
      </c>
      <c r="D89" s="1" t="s">
        <v>47</v>
      </c>
      <c r="E89" s="1" t="s">
        <v>263</v>
      </c>
      <c r="F89" s="1" t="s">
        <v>39</v>
      </c>
      <c r="G89" s="1" t="str">
        <f>"02790240101"</f>
        <v>02790240101</v>
      </c>
      <c r="I89" s="1" t="s">
        <v>275</v>
      </c>
      <c r="L89" s="1" t="s">
        <v>44</v>
      </c>
      <c r="M89" s="1" t="s">
        <v>276</v>
      </c>
      <c r="N89" s="1" t="s">
        <v>108</v>
      </c>
      <c r="Q89" s="1" t="s">
        <v>277</v>
      </c>
      <c r="AJ89" s="2">
        <v>44960</v>
      </c>
    </row>
    <row r="90" spans="1:36">
      <c r="A90" s="1" t="str">
        <f>"963968360F"</f>
        <v>963968360F</v>
      </c>
      <c r="B90" s="1" t="str">
        <f t="shared" si="1"/>
        <v>02406911202</v>
      </c>
      <c r="C90" s="1" t="s">
        <v>13</v>
      </c>
      <c r="D90" s="1" t="s">
        <v>47</v>
      </c>
      <c r="E90" s="1" t="s">
        <v>263</v>
      </c>
      <c r="F90" s="1" t="s">
        <v>39</v>
      </c>
      <c r="G90" s="1" t="str">
        <f>"10338640963"</f>
        <v>10338640963</v>
      </c>
      <c r="I90" s="1" t="s">
        <v>278</v>
      </c>
      <c r="L90" s="1" t="s">
        <v>44</v>
      </c>
      <c r="M90" s="1" t="s">
        <v>279</v>
      </c>
      <c r="N90" s="1" t="s">
        <v>280</v>
      </c>
      <c r="Q90" s="1" t="s">
        <v>281</v>
      </c>
      <c r="AJ90" s="2">
        <v>44960</v>
      </c>
    </row>
    <row r="91" spans="1:36">
      <c r="A91" s="1" t="str">
        <f>"963969719E"</f>
        <v>963969719E</v>
      </c>
      <c r="B91" s="1" t="str">
        <f t="shared" si="1"/>
        <v>02406911202</v>
      </c>
      <c r="C91" s="1" t="s">
        <v>13</v>
      </c>
      <c r="D91" s="1" t="s">
        <v>47</v>
      </c>
      <c r="E91" s="1" t="s">
        <v>263</v>
      </c>
      <c r="F91" s="1" t="s">
        <v>39</v>
      </c>
      <c r="G91" s="1" t="str">
        <f>"09050810960"</f>
        <v>09050810960</v>
      </c>
      <c r="I91" s="1" t="s">
        <v>118</v>
      </c>
      <c r="L91" s="1" t="s">
        <v>44</v>
      </c>
      <c r="M91" s="1" t="s">
        <v>282</v>
      </c>
      <c r="N91" s="1" t="s">
        <v>283</v>
      </c>
      <c r="Q91" s="1" t="s">
        <v>284</v>
      </c>
      <c r="AJ91" s="2">
        <v>44960</v>
      </c>
    </row>
    <row r="92" spans="1:36">
      <c r="A92" s="1" t="str">
        <f>"963972156B"</f>
        <v>963972156B</v>
      </c>
      <c r="B92" s="1" t="str">
        <f t="shared" si="1"/>
        <v>02406911202</v>
      </c>
      <c r="C92" s="1" t="s">
        <v>13</v>
      </c>
      <c r="D92" s="1" t="s">
        <v>47</v>
      </c>
      <c r="E92" s="1" t="s">
        <v>263</v>
      </c>
      <c r="F92" s="1" t="s">
        <v>39</v>
      </c>
      <c r="G92" s="1" t="str">
        <f>"00832400154"</f>
        <v>00832400154</v>
      </c>
      <c r="I92" s="1" t="s">
        <v>285</v>
      </c>
      <c r="L92" s="1" t="s">
        <v>44</v>
      </c>
      <c r="M92" s="1" t="s">
        <v>286</v>
      </c>
      <c r="N92" s="1" t="s">
        <v>287</v>
      </c>
      <c r="Q92" s="1" t="s">
        <v>288</v>
      </c>
      <c r="AJ92" s="2">
        <v>44960</v>
      </c>
    </row>
    <row r="93" spans="1:36">
      <c r="A93" s="1" t="str">
        <f>"961799086D"</f>
        <v>961799086D</v>
      </c>
      <c r="B93" s="1" t="str">
        <f t="shared" si="1"/>
        <v>02406911202</v>
      </c>
      <c r="C93" s="1" t="s">
        <v>13</v>
      </c>
      <c r="D93" s="1" t="s">
        <v>47</v>
      </c>
      <c r="E93" s="1" t="s">
        <v>289</v>
      </c>
      <c r="F93" s="1" t="s">
        <v>39</v>
      </c>
      <c r="G93" s="1" t="str">
        <f>"11575580151"</f>
        <v>11575580151</v>
      </c>
      <c r="I93" s="1" t="s">
        <v>290</v>
      </c>
      <c r="L93" s="1" t="s">
        <v>44</v>
      </c>
      <c r="M93" s="1" t="s">
        <v>291</v>
      </c>
      <c r="N93" s="1" t="s">
        <v>292</v>
      </c>
      <c r="Q93" s="1" t="s">
        <v>293</v>
      </c>
      <c r="AJ93" s="2">
        <v>44950</v>
      </c>
    </row>
    <row r="94" spans="1:36">
      <c r="A94" s="1" t="str">
        <f>"9629301E8D"</f>
        <v>9629301E8D</v>
      </c>
      <c r="B94" s="1" t="str">
        <f t="shared" si="1"/>
        <v>02406911202</v>
      </c>
      <c r="C94" s="1" t="s">
        <v>13</v>
      </c>
      <c r="D94" s="1" t="s">
        <v>47</v>
      </c>
      <c r="E94" s="1" t="s">
        <v>294</v>
      </c>
      <c r="F94" s="1" t="s">
        <v>99</v>
      </c>
      <c r="G94" s="1" t="str">
        <f>"00310180351"</f>
        <v>00310180351</v>
      </c>
      <c r="I94" s="1" t="s">
        <v>295</v>
      </c>
      <c r="J94" s="1" t="s">
        <v>296</v>
      </c>
      <c r="K94" s="1" t="s">
        <v>51</v>
      </c>
      <c r="AJ94" s="2">
        <v>44958</v>
      </c>
    </row>
    <row r="95" spans="1:36">
      <c r="A95" s="1" t="str">
        <f>"9629301E8D"</f>
        <v>9629301E8D</v>
      </c>
      <c r="B95" s="1" t="str">
        <f t="shared" si="1"/>
        <v>02406911202</v>
      </c>
      <c r="C95" s="1" t="s">
        <v>13</v>
      </c>
      <c r="D95" s="1" t="s">
        <v>47</v>
      </c>
      <c r="E95" s="1" t="s">
        <v>294</v>
      </c>
      <c r="F95" s="1" t="s">
        <v>99</v>
      </c>
      <c r="G95" s="1" t="str">
        <f>"00289340366"</f>
        <v>00289340366</v>
      </c>
      <c r="I95" s="1" t="s">
        <v>297</v>
      </c>
      <c r="J95" s="1" t="s">
        <v>296</v>
      </c>
      <c r="K95" s="1" t="s">
        <v>53</v>
      </c>
      <c r="AJ95" s="2">
        <v>44958</v>
      </c>
    </row>
    <row r="96" spans="1:36">
      <c r="A96" s="1" t="str">
        <f>"9629301E8D"</f>
        <v>9629301E8D</v>
      </c>
      <c r="B96" s="1" t="str">
        <f t="shared" si="1"/>
        <v>02406911202</v>
      </c>
      <c r="C96" s="1" t="s">
        <v>13</v>
      </c>
      <c r="D96" s="1" t="s">
        <v>47</v>
      </c>
      <c r="E96" s="1" t="s">
        <v>294</v>
      </c>
      <c r="F96" s="1" t="s">
        <v>99</v>
      </c>
      <c r="I96" s="1" t="s">
        <v>296</v>
      </c>
      <c r="L96" s="1" t="s">
        <v>44</v>
      </c>
      <c r="M96" s="1" t="s">
        <v>298</v>
      </c>
      <c r="Q96" s="1" t="s">
        <v>298</v>
      </c>
      <c r="AJ96" s="2">
        <v>44958</v>
      </c>
    </row>
    <row r="97" spans="1:36">
      <c r="A97" s="1" t="str">
        <f>"9680000CB1"</f>
        <v>9680000CB1</v>
      </c>
      <c r="B97" s="1" t="str">
        <f t="shared" si="1"/>
        <v>02406911202</v>
      </c>
      <c r="C97" s="1" t="s">
        <v>13</v>
      </c>
      <c r="D97" s="1" t="s">
        <v>47</v>
      </c>
      <c r="E97" s="1" t="s">
        <v>299</v>
      </c>
      <c r="F97" s="1" t="s">
        <v>39</v>
      </c>
      <c r="G97" s="1" t="str">
        <f>"04836380156"</f>
        <v>04836380156</v>
      </c>
      <c r="I97" s="1" t="s">
        <v>300</v>
      </c>
      <c r="L97" s="1" t="s">
        <v>44</v>
      </c>
      <c r="M97" s="1" t="s">
        <v>301</v>
      </c>
      <c r="N97" s="1" t="s">
        <v>302</v>
      </c>
      <c r="Q97" s="1" t="s">
        <v>303</v>
      </c>
      <c r="S97" s="1" t="s">
        <v>304</v>
      </c>
      <c r="AJ97" s="2">
        <v>44984</v>
      </c>
    </row>
    <row r="98" spans="1:36">
      <c r="A98" s="1" t="str">
        <f>"96295181A4"</f>
        <v>96295181A4</v>
      </c>
      <c r="B98" s="1" t="str">
        <f t="shared" si="1"/>
        <v>02406911202</v>
      </c>
      <c r="C98" s="1" t="s">
        <v>13</v>
      </c>
      <c r="D98" s="1" t="s">
        <v>47</v>
      </c>
      <c r="E98" s="1" t="s">
        <v>305</v>
      </c>
      <c r="F98" s="1" t="s">
        <v>39</v>
      </c>
      <c r="G98" s="1" t="str">
        <f>"11160660152"</f>
        <v>11160660152</v>
      </c>
      <c r="I98" s="1" t="s">
        <v>306</v>
      </c>
      <c r="L98" s="1" t="s">
        <v>44</v>
      </c>
      <c r="M98" s="1" t="s">
        <v>307</v>
      </c>
      <c r="Q98" s="1" t="s">
        <v>307</v>
      </c>
      <c r="AJ98" s="2">
        <v>44956</v>
      </c>
    </row>
    <row r="99" spans="1:36">
      <c r="A99" s="1" t="str">
        <f>"96359930FB"</f>
        <v>96359930FB</v>
      </c>
      <c r="B99" s="1" t="str">
        <f t="shared" si="1"/>
        <v>02406911202</v>
      </c>
      <c r="C99" s="1" t="s">
        <v>13</v>
      </c>
      <c r="D99" s="1" t="s">
        <v>47</v>
      </c>
      <c r="E99" s="1" t="s">
        <v>308</v>
      </c>
      <c r="F99" s="1" t="s">
        <v>49</v>
      </c>
      <c r="G99" s="1" t="str">
        <f>"03748120155"</f>
        <v>03748120155</v>
      </c>
      <c r="I99" s="1" t="s">
        <v>309</v>
      </c>
      <c r="L99" s="1" t="s">
        <v>44</v>
      </c>
      <c r="M99" s="1" t="s">
        <v>310</v>
      </c>
      <c r="N99" s="1" t="s">
        <v>311</v>
      </c>
      <c r="O99" s="1" t="s">
        <v>312</v>
      </c>
      <c r="AJ99" s="2">
        <v>44959</v>
      </c>
    </row>
    <row r="100" spans="1:36">
      <c r="A100" s="1" t="str">
        <f>"9636063ABC"</f>
        <v>9636063ABC</v>
      </c>
      <c r="B100" s="1" t="str">
        <f t="shared" si="1"/>
        <v>02406911202</v>
      </c>
      <c r="C100" s="1" t="s">
        <v>13</v>
      </c>
      <c r="D100" s="1" t="s">
        <v>47</v>
      </c>
      <c r="E100" s="1" t="s">
        <v>313</v>
      </c>
      <c r="F100" s="1" t="s">
        <v>49</v>
      </c>
      <c r="G100" s="1" t="str">
        <f>"07668030583"</f>
        <v>07668030583</v>
      </c>
      <c r="I100" s="1" t="s">
        <v>314</v>
      </c>
      <c r="L100" s="1" t="s">
        <v>44</v>
      </c>
      <c r="M100" s="1" t="s">
        <v>315</v>
      </c>
      <c r="O100" s="1" t="s">
        <v>315</v>
      </c>
      <c r="AJ100" s="2">
        <v>44959</v>
      </c>
    </row>
    <row r="101" spans="1:36">
      <c r="A101" s="1" t="str">
        <f>"9620708B63"</f>
        <v>9620708B63</v>
      </c>
      <c r="B101" s="1" t="str">
        <f t="shared" si="1"/>
        <v>02406911202</v>
      </c>
      <c r="C101" s="1" t="s">
        <v>13</v>
      </c>
      <c r="D101" s="1" t="s">
        <v>47</v>
      </c>
      <c r="E101" s="1" t="s">
        <v>316</v>
      </c>
      <c r="F101" s="1" t="s">
        <v>49</v>
      </c>
      <c r="G101" s="1" t="str">
        <f>"00803890151"</f>
        <v>00803890151</v>
      </c>
      <c r="I101" s="1" t="s">
        <v>68</v>
      </c>
      <c r="L101" s="1" t="s">
        <v>44</v>
      </c>
      <c r="M101" s="1" t="s">
        <v>317</v>
      </c>
      <c r="O101" s="1" t="s">
        <v>317</v>
      </c>
      <c r="AJ101" s="2">
        <v>44951</v>
      </c>
    </row>
    <row r="102" spans="1:36">
      <c r="A102" s="1" t="str">
        <f>"972493670F"</f>
        <v>972493670F</v>
      </c>
      <c r="B102" s="1" t="str">
        <f t="shared" si="1"/>
        <v>02406911202</v>
      </c>
      <c r="C102" s="1" t="s">
        <v>13</v>
      </c>
      <c r="D102" s="1" t="s">
        <v>47</v>
      </c>
      <c r="E102" s="1" t="s">
        <v>318</v>
      </c>
      <c r="F102" s="1" t="s">
        <v>39</v>
      </c>
      <c r="G102" s="1" t="str">
        <f>"07221350486"</f>
        <v>07221350486</v>
      </c>
      <c r="I102" s="1" t="s">
        <v>319</v>
      </c>
      <c r="L102" s="1" t="s">
        <v>44</v>
      </c>
      <c r="M102" s="1" t="s">
        <v>320</v>
      </c>
      <c r="O102" s="1" t="s">
        <v>320</v>
      </c>
      <c r="AJ102" s="2">
        <v>45006</v>
      </c>
    </row>
    <row r="103" spans="1:36">
      <c r="A103" s="1" t="str">
        <f>"9734500B84"</f>
        <v>9734500B84</v>
      </c>
      <c r="B103" s="1" t="str">
        <f t="shared" si="1"/>
        <v>02406911202</v>
      </c>
      <c r="C103" s="1" t="s">
        <v>13</v>
      </c>
      <c r="D103" s="1" t="s">
        <v>47</v>
      </c>
      <c r="E103" s="1" t="s">
        <v>321</v>
      </c>
      <c r="F103" s="1" t="s">
        <v>39</v>
      </c>
      <c r="G103" s="1" t="str">
        <f>"03663160962"</f>
        <v>03663160962</v>
      </c>
      <c r="I103" s="1" t="s">
        <v>322</v>
      </c>
      <c r="L103" s="1" t="s">
        <v>44</v>
      </c>
      <c r="M103" s="1" t="s">
        <v>323</v>
      </c>
      <c r="N103" s="1" t="s">
        <v>324</v>
      </c>
      <c r="O103" s="1" t="s">
        <v>325</v>
      </c>
      <c r="Q103" s="1" t="s">
        <v>326</v>
      </c>
      <c r="AJ103" s="2">
        <v>45009</v>
      </c>
    </row>
    <row r="104" spans="1:36">
      <c r="A104" s="1" t="str">
        <f>"9709167213"</f>
        <v>9709167213</v>
      </c>
      <c r="B104" s="1" t="str">
        <f t="shared" si="1"/>
        <v>02406911202</v>
      </c>
      <c r="C104" s="1" t="s">
        <v>13</v>
      </c>
      <c r="D104" s="1" t="s">
        <v>47</v>
      </c>
      <c r="E104" s="1" t="s">
        <v>327</v>
      </c>
      <c r="F104" s="1" t="s">
        <v>39</v>
      </c>
      <c r="G104" s="1" t="str">
        <f>"08862820969"</f>
        <v>08862820969</v>
      </c>
      <c r="I104" s="1" t="s">
        <v>146</v>
      </c>
      <c r="L104" s="1" t="s">
        <v>44</v>
      </c>
      <c r="M104" s="1" t="s">
        <v>328</v>
      </c>
      <c r="N104" s="1" t="s">
        <v>329</v>
      </c>
      <c r="O104" s="1" t="s">
        <v>330</v>
      </c>
      <c r="AJ104" s="2">
        <v>44998</v>
      </c>
    </row>
    <row r="105" spans="1:36">
      <c r="A105" s="1" t="str">
        <f>"9668868A47"</f>
        <v>9668868A47</v>
      </c>
      <c r="B105" s="1" t="str">
        <f t="shared" si="1"/>
        <v>02406911202</v>
      </c>
      <c r="C105" s="1" t="s">
        <v>13</v>
      </c>
      <c r="D105" s="1" t="s">
        <v>47</v>
      </c>
      <c r="E105" s="1" t="s">
        <v>331</v>
      </c>
      <c r="F105" s="1" t="s">
        <v>39</v>
      </c>
      <c r="G105" s="1" t="str">
        <f>"06614040159"</f>
        <v>06614040159</v>
      </c>
      <c r="I105" s="1" t="s">
        <v>332</v>
      </c>
      <c r="L105" s="1" t="s">
        <v>44</v>
      </c>
      <c r="M105" s="1" t="s">
        <v>333</v>
      </c>
      <c r="O105" s="1" t="s">
        <v>333</v>
      </c>
      <c r="AJ105" s="2">
        <v>44977</v>
      </c>
    </row>
    <row r="106" spans="1:36">
      <c r="A106" s="1" t="str">
        <f>"96257002ED"</f>
        <v>96257002ED</v>
      </c>
      <c r="B106" s="1" t="str">
        <f t="shared" si="1"/>
        <v>02406911202</v>
      </c>
      <c r="C106" s="1" t="s">
        <v>13</v>
      </c>
      <c r="D106" s="1" t="s">
        <v>47</v>
      </c>
      <c r="E106" s="1" t="s">
        <v>334</v>
      </c>
      <c r="F106" s="1" t="s">
        <v>39</v>
      </c>
      <c r="G106" s="1" t="str">
        <f>"11192991005"</f>
        <v>11192991005</v>
      </c>
      <c r="I106" s="1" t="s">
        <v>335</v>
      </c>
      <c r="L106" s="1" t="s">
        <v>44</v>
      </c>
      <c r="M106" s="1" t="s">
        <v>336</v>
      </c>
      <c r="N106" s="1" t="s">
        <v>83</v>
      </c>
      <c r="O106" s="1" t="s">
        <v>337</v>
      </c>
      <c r="AJ106" s="2">
        <v>44953</v>
      </c>
    </row>
    <row r="107" spans="1:36">
      <c r="A107" s="1" t="str">
        <f>"9747570D38"</f>
        <v>9747570D38</v>
      </c>
      <c r="B107" s="1" t="str">
        <f t="shared" si="1"/>
        <v>02406911202</v>
      </c>
      <c r="C107" s="1" t="s">
        <v>13</v>
      </c>
      <c r="D107" s="1" t="s">
        <v>47</v>
      </c>
      <c r="E107" s="1" t="s">
        <v>338</v>
      </c>
      <c r="F107" s="1" t="s">
        <v>39</v>
      </c>
      <c r="G107" s="1" t="str">
        <f>"09592090964"</f>
        <v>09592090964</v>
      </c>
      <c r="I107" s="1" t="s">
        <v>339</v>
      </c>
      <c r="L107" s="1" t="s">
        <v>44</v>
      </c>
      <c r="M107" s="1" t="s">
        <v>340</v>
      </c>
      <c r="O107" s="1" t="s">
        <v>340</v>
      </c>
      <c r="AJ107" s="2">
        <v>45015</v>
      </c>
    </row>
    <row r="108" spans="1:36">
      <c r="A108" s="1" t="str">
        <f>"95059226FD"</f>
        <v>95059226FD</v>
      </c>
      <c r="B108" s="1" t="str">
        <f t="shared" si="1"/>
        <v>02406911202</v>
      </c>
      <c r="C108" s="1" t="s">
        <v>13</v>
      </c>
      <c r="D108" s="1" t="s">
        <v>47</v>
      </c>
      <c r="E108" s="1" t="s">
        <v>341</v>
      </c>
      <c r="F108" s="1" t="s">
        <v>39</v>
      </c>
      <c r="G108" s="1" t="str">
        <f>"03912980376"</f>
        <v>03912980376</v>
      </c>
      <c r="I108" s="1" t="s">
        <v>6751</v>
      </c>
      <c r="L108" s="1" t="s">
        <v>44</v>
      </c>
      <c r="M108" s="1" t="s">
        <v>342</v>
      </c>
      <c r="AJ108" s="2">
        <v>44957</v>
      </c>
    </row>
    <row r="109" spans="1:36">
      <c r="A109" s="1" t="str">
        <f>"9754315B5F"</f>
        <v>9754315B5F</v>
      </c>
      <c r="B109" s="1" t="str">
        <f t="shared" si="1"/>
        <v>02406911202</v>
      </c>
      <c r="C109" s="1" t="s">
        <v>13</v>
      </c>
      <c r="D109" s="1" t="s">
        <v>47</v>
      </c>
      <c r="E109" s="1" t="s">
        <v>343</v>
      </c>
      <c r="F109" s="1" t="s">
        <v>39</v>
      </c>
      <c r="G109" s="1" t="str">
        <f>"03918040589"</f>
        <v>03918040589</v>
      </c>
      <c r="I109" s="1" t="s">
        <v>344</v>
      </c>
      <c r="L109" s="1" t="s">
        <v>44</v>
      </c>
      <c r="M109" s="1" t="s">
        <v>345</v>
      </c>
      <c r="O109" s="1" t="s">
        <v>346</v>
      </c>
      <c r="Q109" s="1" t="s">
        <v>347</v>
      </c>
      <c r="AJ109" s="2">
        <v>45019</v>
      </c>
    </row>
    <row r="110" spans="1:36">
      <c r="A110" s="1" t="str">
        <f>"975440125A"</f>
        <v>975440125A</v>
      </c>
      <c r="B110" s="1" t="str">
        <f t="shared" si="1"/>
        <v>02406911202</v>
      </c>
      <c r="C110" s="1" t="s">
        <v>13</v>
      </c>
      <c r="D110" s="1" t="s">
        <v>47</v>
      </c>
      <c r="E110" s="1" t="s">
        <v>348</v>
      </c>
      <c r="F110" s="1" t="s">
        <v>39</v>
      </c>
      <c r="G110" s="1" t="str">
        <f>"02642020156"</f>
        <v>02642020156</v>
      </c>
      <c r="I110" s="1" t="s">
        <v>253</v>
      </c>
      <c r="L110" s="1" t="s">
        <v>44</v>
      </c>
      <c r="M110" s="1" t="s">
        <v>349</v>
      </c>
      <c r="N110" s="1" t="s">
        <v>350</v>
      </c>
      <c r="O110" s="1" t="s">
        <v>351</v>
      </c>
      <c r="Q110" s="1" t="s">
        <v>352</v>
      </c>
      <c r="AJ110" s="2">
        <v>45019</v>
      </c>
    </row>
    <row r="111" spans="1:36">
      <c r="A111" s="1" t="str">
        <f>"97542738B7"</f>
        <v>97542738B7</v>
      </c>
      <c r="B111" s="1" t="str">
        <f t="shared" si="1"/>
        <v>02406911202</v>
      </c>
      <c r="C111" s="1" t="s">
        <v>13</v>
      </c>
      <c r="D111" s="1" t="s">
        <v>47</v>
      </c>
      <c r="E111" s="1" t="s">
        <v>353</v>
      </c>
      <c r="F111" s="1" t="s">
        <v>39</v>
      </c>
      <c r="G111" s="1" t="str">
        <f>"05849130157"</f>
        <v>05849130157</v>
      </c>
      <c r="I111" s="1" t="s">
        <v>354</v>
      </c>
      <c r="L111" s="1" t="s">
        <v>44</v>
      </c>
      <c r="M111" s="1" t="s">
        <v>355</v>
      </c>
      <c r="O111" s="1" t="s">
        <v>356</v>
      </c>
      <c r="Q111" s="1" t="s">
        <v>357</v>
      </c>
      <c r="AJ111" s="2">
        <v>45019</v>
      </c>
    </row>
    <row r="112" spans="1:36">
      <c r="A112" s="1" t="str">
        <f>"9675781313"</f>
        <v>9675781313</v>
      </c>
      <c r="B112" s="1" t="str">
        <f t="shared" si="1"/>
        <v>02406911202</v>
      </c>
      <c r="C112" s="1" t="s">
        <v>13</v>
      </c>
      <c r="D112" s="1" t="s">
        <v>47</v>
      </c>
      <c r="E112" s="1" t="s">
        <v>358</v>
      </c>
      <c r="F112" s="1" t="s">
        <v>39</v>
      </c>
      <c r="G112" s="1" t="str">
        <f>"07435060152"</f>
        <v>07435060152</v>
      </c>
      <c r="I112" s="1" t="s">
        <v>359</v>
      </c>
      <c r="L112" s="1" t="s">
        <v>44</v>
      </c>
      <c r="M112" s="1" t="s">
        <v>360</v>
      </c>
      <c r="N112" s="1" t="s">
        <v>361</v>
      </c>
      <c r="O112" s="1" t="s">
        <v>362</v>
      </c>
      <c r="Q112" s="1" t="s">
        <v>363</v>
      </c>
      <c r="R112" s="1" t="s">
        <v>364</v>
      </c>
      <c r="S112" s="1" t="s">
        <v>365</v>
      </c>
      <c r="AJ112" s="2">
        <v>44988</v>
      </c>
    </row>
    <row r="113" spans="1:36">
      <c r="A113" s="1" t="str">
        <f>"9675807886"</f>
        <v>9675807886</v>
      </c>
      <c r="B113" s="1" t="str">
        <f t="shared" si="1"/>
        <v>02406911202</v>
      </c>
      <c r="C113" s="1" t="s">
        <v>13</v>
      </c>
      <c r="D113" s="1" t="s">
        <v>47</v>
      </c>
      <c r="E113" s="1" t="s">
        <v>366</v>
      </c>
      <c r="F113" s="1" t="s">
        <v>39</v>
      </c>
      <c r="G113" s="1" t="str">
        <f>"07435060152"</f>
        <v>07435060152</v>
      </c>
      <c r="I113" s="1" t="s">
        <v>359</v>
      </c>
      <c r="L113" s="1" t="s">
        <v>44</v>
      </c>
      <c r="M113" s="1" t="s">
        <v>367</v>
      </c>
      <c r="N113" s="1" t="s">
        <v>368</v>
      </c>
      <c r="O113" s="1" t="s">
        <v>369</v>
      </c>
      <c r="Q113" s="1" t="s">
        <v>370</v>
      </c>
      <c r="S113" s="1" t="s">
        <v>371</v>
      </c>
      <c r="AJ113" s="2">
        <v>44988</v>
      </c>
    </row>
    <row r="114" spans="1:36">
      <c r="A114" s="1" t="str">
        <f>"975465759B"</f>
        <v>975465759B</v>
      </c>
      <c r="B114" s="1" t="str">
        <f t="shared" si="1"/>
        <v>02406911202</v>
      </c>
      <c r="C114" s="1" t="s">
        <v>13</v>
      </c>
      <c r="D114" s="1" t="s">
        <v>47</v>
      </c>
      <c r="E114" s="1" t="s">
        <v>372</v>
      </c>
      <c r="F114" s="1" t="s">
        <v>39</v>
      </c>
      <c r="H114" s="1" t="str">
        <f>"SWE-556737-4681"</f>
        <v>SWE-556737-4681</v>
      </c>
      <c r="I114" s="1" t="s">
        <v>373</v>
      </c>
      <c r="L114" s="1" t="s">
        <v>44</v>
      </c>
      <c r="M114" s="1" t="s">
        <v>374</v>
      </c>
      <c r="N114" s="1" t="s">
        <v>375</v>
      </c>
      <c r="O114" s="1" t="s">
        <v>376</v>
      </c>
      <c r="Q114" s="1" t="s">
        <v>377</v>
      </c>
      <c r="AJ114" s="2">
        <v>45019</v>
      </c>
    </row>
    <row r="115" spans="1:36">
      <c r="A115" s="1" t="str">
        <f>"97521890F4"</f>
        <v>97521890F4</v>
      </c>
      <c r="B115" s="1" t="str">
        <f t="shared" si="1"/>
        <v>02406911202</v>
      </c>
      <c r="C115" s="1" t="s">
        <v>13</v>
      </c>
      <c r="D115" s="1" t="s">
        <v>47</v>
      </c>
      <c r="E115" s="1" t="s">
        <v>378</v>
      </c>
      <c r="F115" s="1" t="s">
        <v>39</v>
      </c>
      <c r="G115" s="1" t="str">
        <f>"04337640280"</f>
        <v>04337640280</v>
      </c>
      <c r="I115" s="1" t="s">
        <v>379</v>
      </c>
      <c r="L115" s="1" t="s">
        <v>44</v>
      </c>
      <c r="M115" s="1" t="s">
        <v>380</v>
      </c>
      <c r="N115" s="1" t="s">
        <v>381</v>
      </c>
      <c r="S115" s="1" t="s">
        <v>382</v>
      </c>
      <c r="AJ115" s="2">
        <v>45016</v>
      </c>
    </row>
    <row r="116" spans="1:36">
      <c r="A116" s="1" t="str">
        <f>"97698818D8"</f>
        <v>97698818D8</v>
      </c>
      <c r="B116" s="1" t="str">
        <f t="shared" si="1"/>
        <v>02406911202</v>
      </c>
      <c r="C116" s="1" t="s">
        <v>13</v>
      </c>
      <c r="D116" s="1" t="s">
        <v>47</v>
      </c>
      <c r="E116" s="1" t="s">
        <v>383</v>
      </c>
      <c r="F116" s="1" t="s">
        <v>39</v>
      </c>
      <c r="G116" s="1" t="str">
        <f>"01489790996"</f>
        <v>01489790996</v>
      </c>
      <c r="I116" s="1" t="s">
        <v>384</v>
      </c>
      <c r="L116" s="1" t="s">
        <v>44</v>
      </c>
      <c r="M116" s="1" t="s">
        <v>385</v>
      </c>
      <c r="N116" s="1" t="s">
        <v>386</v>
      </c>
      <c r="P116" s="1" t="s">
        <v>387</v>
      </c>
      <c r="AJ116" s="2">
        <v>45028</v>
      </c>
    </row>
    <row r="117" spans="1:36">
      <c r="A117" s="1" t="str">
        <f>"9505656B79"</f>
        <v>9505656B79</v>
      </c>
      <c r="B117" s="1" t="str">
        <f t="shared" si="1"/>
        <v>02406911202</v>
      </c>
      <c r="C117" s="1" t="s">
        <v>13</v>
      </c>
      <c r="D117" s="1" t="s">
        <v>47</v>
      </c>
      <c r="E117" s="1" t="s">
        <v>388</v>
      </c>
      <c r="F117" s="1" t="s">
        <v>39</v>
      </c>
      <c r="G117" s="1" t="str">
        <f>"00856750153"</f>
        <v>00856750153</v>
      </c>
      <c r="I117" s="1" t="s">
        <v>40</v>
      </c>
      <c r="L117" s="1" t="s">
        <v>44</v>
      </c>
      <c r="M117" s="1" t="s">
        <v>389</v>
      </c>
      <c r="O117" s="1" t="s">
        <v>389</v>
      </c>
      <c r="AJ117" s="2">
        <v>44957</v>
      </c>
    </row>
    <row r="118" spans="1:36">
      <c r="A118" s="1" t="str">
        <f>"9722383C40"</f>
        <v>9722383C40</v>
      </c>
      <c r="B118" s="1" t="str">
        <f t="shared" si="1"/>
        <v>02406911202</v>
      </c>
      <c r="C118" s="1" t="s">
        <v>13</v>
      </c>
      <c r="D118" s="1" t="s">
        <v>47</v>
      </c>
      <c r="E118" s="1" t="s">
        <v>390</v>
      </c>
      <c r="F118" s="1" t="s">
        <v>49</v>
      </c>
      <c r="G118" s="1" t="str">
        <f>"01140030360"</f>
        <v>01140030360</v>
      </c>
      <c r="I118" s="1" t="s">
        <v>171</v>
      </c>
      <c r="L118" s="1" t="s">
        <v>44</v>
      </c>
      <c r="M118" s="1" t="s">
        <v>391</v>
      </c>
      <c r="N118" s="1" t="s">
        <v>392</v>
      </c>
      <c r="O118" s="1" t="s">
        <v>393</v>
      </c>
      <c r="R118" s="1" t="s">
        <v>394</v>
      </c>
      <c r="S118" s="1" t="s">
        <v>395</v>
      </c>
      <c r="AJ118" s="2">
        <v>45005</v>
      </c>
    </row>
    <row r="119" spans="1:36">
      <c r="A119" s="1" t="str">
        <f>"97223988A2"</f>
        <v>97223988A2</v>
      </c>
      <c r="B119" s="1" t="str">
        <f t="shared" si="1"/>
        <v>02406911202</v>
      </c>
      <c r="C119" s="1" t="s">
        <v>13</v>
      </c>
      <c r="D119" s="1" t="s">
        <v>47</v>
      </c>
      <c r="E119" s="1" t="s">
        <v>390</v>
      </c>
      <c r="F119" s="1" t="s">
        <v>49</v>
      </c>
      <c r="G119" s="1" t="str">
        <f>"00674840152"</f>
        <v>00674840152</v>
      </c>
      <c r="I119" s="1" t="s">
        <v>190</v>
      </c>
      <c r="L119" s="1" t="s">
        <v>44</v>
      </c>
      <c r="M119" s="1" t="s">
        <v>74</v>
      </c>
      <c r="N119" s="1" t="s">
        <v>74</v>
      </c>
      <c r="AJ119" s="2">
        <v>45005</v>
      </c>
    </row>
    <row r="120" spans="1:36">
      <c r="A120" s="1" t="str">
        <f>"9722404D94"</f>
        <v>9722404D94</v>
      </c>
      <c r="B120" s="1" t="str">
        <f t="shared" si="1"/>
        <v>02406911202</v>
      </c>
      <c r="C120" s="1" t="s">
        <v>13</v>
      </c>
      <c r="D120" s="1" t="s">
        <v>47</v>
      </c>
      <c r="E120" s="1" t="s">
        <v>390</v>
      </c>
      <c r="F120" s="1" t="s">
        <v>49</v>
      </c>
      <c r="G120" s="1" t="str">
        <f>"09693591001"</f>
        <v>09693591001</v>
      </c>
      <c r="I120" s="1" t="s">
        <v>396</v>
      </c>
      <c r="L120" s="1" t="s">
        <v>44</v>
      </c>
      <c r="M120" s="1" t="s">
        <v>397</v>
      </c>
      <c r="N120" s="1" t="s">
        <v>398</v>
      </c>
      <c r="O120" s="1" t="s">
        <v>399</v>
      </c>
      <c r="S120" s="1" t="s">
        <v>400</v>
      </c>
      <c r="AJ120" s="2">
        <v>45005</v>
      </c>
    </row>
    <row r="121" spans="1:36">
      <c r="A121" s="1" t="str">
        <f>"9722426FBB"</f>
        <v>9722426FBB</v>
      </c>
      <c r="B121" s="1" t="str">
        <f t="shared" si="1"/>
        <v>02406911202</v>
      </c>
      <c r="C121" s="1" t="s">
        <v>13</v>
      </c>
      <c r="D121" s="1" t="s">
        <v>47</v>
      </c>
      <c r="E121" s="1" t="s">
        <v>390</v>
      </c>
      <c r="F121" s="1" t="s">
        <v>49</v>
      </c>
      <c r="G121" s="1" t="str">
        <f>"07668030583"</f>
        <v>07668030583</v>
      </c>
      <c r="I121" s="1" t="s">
        <v>314</v>
      </c>
      <c r="L121" s="1" t="s">
        <v>44</v>
      </c>
      <c r="M121" s="1" t="s">
        <v>401</v>
      </c>
      <c r="N121" s="1" t="s">
        <v>402</v>
      </c>
      <c r="O121" s="1" t="s">
        <v>403</v>
      </c>
      <c r="Q121" s="1" t="s">
        <v>404</v>
      </c>
      <c r="R121" s="1" t="s">
        <v>405</v>
      </c>
      <c r="AJ121" s="2">
        <v>45005</v>
      </c>
    </row>
    <row r="122" spans="1:36">
      <c r="A122" s="1" t="str">
        <f>"97224313DF"</f>
        <v>97224313DF</v>
      </c>
      <c r="B122" s="1" t="str">
        <f t="shared" si="1"/>
        <v>02406911202</v>
      </c>
      <c r="C122" s="1" t="s">
        <v>13</v>
      </c>
      <c r="D122" s="1" t="s">
        <v>47</v>
      </c>
      <c r="E122" s="1" t="s">
        <v>390</v>
      </c>
      <c r="F122" s="1" t="s">
        <v>49</v>
      </c>
      <c r="G122" s="1" t="str">
        <f>"03748120155"</f>
        <v>03748120155</v>
      </c>
      <c r="I122" s="1" t="s">
        <v>309</v>
      </c>
      <c r="L122" s="1" t="s">
        <v>44</v>
      </c>
      <c r="M122" s="1" t="s">
        <v>406</v>
      </c>
      <c r="N122" s="1" t="s">
        <v>407</v>
      </c>
      <c r="O122" s="1" t="s">
        <v>408</v>
      </c>
      <c r="R122" s="1" t="s">
        <v>409</v>
      </c>
      <c r="S122" s="1" t="s">
        <v>410</v>
      </c>
      <c r="AJ122" s="2">
        <v>45005</v>
      </c>
    </row>
    <row r="123" spans="1:36">
      <c r="A123" s="1" t="str">
        <f>"9744214BC3"</f>
        <v>9744214BC3</v>
      </c>
      <c r="B123" s="1" t="str">
        <f t="shared" si="1"/>
        <v>02406911202</v>
      </c>
      <c r="C123" s="1" t="s">
        <v>13</v>
      </c>
      <c r="D123" s="1" t="s">
        <v>47</v>
      </c>
      <c r="E123" s="1" t="s">
        <v>411</v>
      </c>
      <c r="F123" s="1" t="s">
        <v>39</v>
      </c>
      <c r="G123" s="1" t="str">
        <f>"01835220482"</f>
        <v>01835220482</v>
      </c>
      <c r="I123" s="1" t="s">
        <v>412</v>
      </c>
      <c r="L123" s="1" t="s">
        <v>44</v>
      </c>
      <c r="M123" s="1" t="s">
        <v>413</v>
      </c>
      <c r="N123" s="1" t="s">
        <v>414</v>
      </c>
      <c r="O123" s="1" t="s">
        <v>415</v>
      </c>
      <c r="Q123" s="1" t="s">
        <v>416</v>
      </c>
      <c r="AJ123" s="2">
        <v>45014</v>
      </c>
    </row>
    <row r="124" spans="1:36">
      <c r="A124" s="1" t="str">
        <f>"97442086D1"</f>
        <v>97442086D1</v>
      </c>
      <c r="B124" s="1" t="str">
        <f t="shared" si="1"/>
        <v>02406911202</v>
      </c>
      <c r="C124" s="1" t="s">
        <v>13</v>
      </c>
      <c r="D124" s="1" t="s">
        <v>47</v>
      </c>
      <c r="E124" s="1" t="s">
        <v>411</v>
      </c>
      <c r="F124" s="1" t="s">
        <v>39</v>
      </c>
      <c r="G124" s="1" t="str">
        <f>"11206730159"</f>
        <v>11206730159</v>
      </c>
      <c r="I124" s="1" t="s">
        <v>192</v>
      </c>
      <c r="L124" s="1" t="s">
        <v>44</v>
      </c>
      <c r="M124" s="1" t="s">
        <v>417</v>
      </c>
      <c r="N124" s="1" t="s">
        <v>418</v>
      </c>
      <c r="O124" s="1" t="s">
        <v>419</v>
      </c>
      <c r="AJ124" s="2">
        <v>45014</v>
      </c>
    </row>
    <row r="125" spans="1:36">
      <c r="A125" s="1" t="str">
        <f>"9744200039"</f>
        <v>9744200039</v>
      </c>
      <c r="B125" s="1" t="str">
        <f t="shared" si="1"/>
        <v>02406911202</v>
      </c>
      <c r="C125" s="1" t="s">
        <v>13</v>
      </c>
      <c r="D125" s="1" t="s">
        <v>47</v>
      </c>
      <c r="E125" s="1" t="s">
        <v>411</v>
      </c>
      <c r="F125" s="1" t="s">
        <v>39</v>
      </c>
      <c r="G125" s="1" t="str">
        <f>"11264670156"</f>
        <v>11264670156</v>
      </c>
      <c r="I125" s="1" t="s">
        <v>64</v>
      </c>
      <c r="L125" s="1" t="s">
        <v>44</v>
      </c>
      <c r="M125" s="1" t="s">
        <v>420</v>
      </c>
      <c r="N125" s="1" t="s">
        <v>421</v>
      </c>
      <c r="O125" s="1" t="s">
        <v>422</v>
      </c>
      <c r="AJ125" s="2">
        <v>45014</v>
      </c>
    </row>
    <row r="126" spans="1:36">
      <c r="A126" s="1" t="str">
        <f>"97442200BA"</f>
        <v>97442200BA</v>
      </c>
      <c r="B126" s="1" t="str">
        <f t="shared" si="1"/>
        <v>02406911202</v>
      </c>
      <c r="C126" s="1" t="s">
        <v>13</v>
      </c>
      <c r="D126" s="1" t="s">
        <v>47</v>
      </c>
      <c r="E126" s="1" t="s">
        <v>411</v>
      </c>
      <c r="F126" s="1" t="s">
        <v>39</v>
      </c>
      <c r="G126" s="1" t="str">
        <f>"08082461008"</f>
        <v>08082461008</v>
      </c>
      <c r="I126" s="1" t="s">
        <v>423</v>
      </c>
      <c r="L126" s="1" t="s">
        <v>44</v>
      </c>
      <c r="M126" s="1" t="s">
        <v>424</v>
      </c>
      <c r="N126" s="1" t="s">
        <v>425</v>
      </c>
      <c r="O126" s="1" t="s">
        <v>426</v>
      </c>
      <c r="AJ126" s="2">
        <v>45014</v>
      </c>
    </row>
    <row r="127" spans="1:36">
      <c r="A127" s="1" t="str">
        <f>"9788875332"</f>
        <v>9788875332</v>
      </c>
      <c r="B127" s="1" t="str">
        <f t="shared" si="1"/>
        <v>02406911202</v>
      </c>
      <c r="C127" s="1" t="s">
        <v>13</v>
      </c>
      <c r="D127" s="1" t="s">
        <v>47</v>
      </c>
      <c r="E127" s="1" t="s">
        <v>427</v>
      </c>
      <c r="F127" s="1" t="s">
        <v>39</v>
      </c>
      <c r="G127" s="1" t="str">
        <f>"05763890638"</f>
        <v>05763890638</v>
      </c>
      <c r="I127" s="1" t="s">
        <v>428</v>
      </c>
      <c r="L127" s="1" t="s">
        <v>44</v>
      </c>
      <c r="M127" s="1" t="s">
        <v>429</v>
      </c>
      <c r="O127" s="1" t="s">
        <v>429</v>
      </c>
      <c r="AJ127" s="2">
        <v>45037</v>
      </c>
    </row>
    <row r="128" spans="1:36">
      <c r="A128" s="1" t="str">
        <f>"9543562C7E"</f>
        <v>9543562C7E</v>
      </c>
      <c r="B128" s="1" t="str">
        <f t="shared" si="1"/>
        <v>02406911202</v>
      </c>
      <c r="C128" s="1" t="s">
        <v>13</v>
      </c>
      <c r="D128" s="1" t="s">
        <v>47</v>
      </c>
      <c r="E128" s="1" t="s">
        <v>430</v>
      </c>
      <c r="F128" s="1" t="s">
        <v>431</v>
      </c>
      <c r="G128" s="1" t="str">
        <f>"03593680378"</f>
        <v>03593680378</v>
      </c>
      <c r="I128" s="1" t="s">
        <v>432</v>
      </c>
      <c r="L128" s="1" t="s">
        <v>44</v>
      </c>
      <c r="M128" s="1" t="s">
        <v>433</v>
      </c>
      <c r="N128" s="1" t="s">
        <v>434</v>
      </c>
      <c r="O128" s="1" t="s">
        <v>435</v>
      </c>
      <c r="P128" s="1" t="s">
        <v>436</v>
      </c>
      <c r="Q128" s="1" t="s">
        <v>437</v>
      </c>
      <c r="S128" s="1" t="s">
        <v>438</v>
      </c>
      <c r="AJ128" s="2">
        <v>44936</v>
      </c>
    </row>
    <row r="129" spans="1:36">
      <c r="A129" s="1" t="str">
        <f>"9543562C7E"</f>
        <v>9543562C7E</v>
      </c>
      <c r="B129" s="1" t="str">
        <f t="shared" si="1"/>
        <v>02406911202</v>
      </c>
      <c r="C129" s="1" t="s">
        <v>13</v>
      </c>
      <c r="D129" s="1" t="s">
        <v>47</v>
      </c>
      <c r="E129" s="1" t="s">
        <v>430</v>
      </c>
      <c r="F129" s="1" t="s">
        <v>431</v>
      </c>
      <c r="G129" s="1" t="str">
        <f>"00136740404"</f>
        <v>00136740404</v>
      </c>
      <c r="I129" s="1" t="s">
        <v>439</v>
      </c>
      <c r="L129" s="1" t="s">
        <v>41</v>
      </c>
      <c r="AJ129" s="2">
        <v>44936</v>
      </c>
    </row>
    <row r="130" spans="1:36">
      <c r="A130" s="1" t="str">
        <f>"9796307845"</f>
        <v>9796307845</v>
      </c>
      <c r="B130" s="1" t="str">
        <f t="shared" ref="B130:B193" si="2">"02406911202"</f>
        <v>02406911202</v>
      </c>
      <c r="C130" s="1" t="s">
        <v>13</v>
      </c>
      <c r="D130" s="1" t="s">
        <v>47</v>
      </c>
      <c r="E130" s="1" t="s">
        <v>440</v>
      </c>
      <c r="F130" s="1" t="s">
        <v>39</v>
      </c>
      <c r="G130" s="1" t="str">
        <f>"03878140239"</f>
        <v>03878140239</v>
      </c>
      <c r="I130" s="1" t="s">
        <v>441</v>
      </c>
      <c r="L130" s="1" t="s">
        <v>44</v>
      </c>
      <c r="M130" s="1" t="s">
        <v>442</v>
      </c>
      <c r="Q130" s="1" t="s">
        <v>442</v>
      </c>
      <c r="AJ130" s="2">
        <v>45044</v>
      </c>
    </row>
    <row r="131" spans="1:36">
      <c r="A131" s="1" t="str">
        <f>"971727442E"</f>
        <v>971727442E</v>
      </c>
      <c r="B131" s="1" t="str">
        <f t="shared" si="2"/>
        <v>02406911202</v>
      </c>
      <c r="C131" s="1" t="s">
        <v>13</v>
      </c>
      <c r="D131" s="1" t="s">
        <v>47</v>
      </c>
      <c r="E131" s="1" t="s">
        <v>443</v>
      </c>
      <c r="F131" s="1" t="s">
        <v>39</v>
      </c>
      <c r="G131" s="1" t="str">
        <f>"02368591208"</f>
        <v>02368591208</v>
      </c>
      <c r="I131" s="1" t="s">
        <v>444</v>
      </c>
      <c r="L131" s="1" t="s">
        <v>44</v>
      </c>
      <c r="M131" s="1" t="s">
        <v>445</v>
      </c>
      <c r="O131" s="1" t="s">
        <v>445</v>
      </c>
      <c r="AJ131" s="2">
        <v>45001</v>
      </c>
    </row>
    <row r="132" spans="1:36">
      <c r="A132" s="1" t="str">
        <f>"9799287373"</f>
        <v>9799287373</v>
      </c>
      <c r="B132" s="1" t="str">
        <f t="shared" si="2"/>
        <v>02406911202</v>
      </c>
      <c r="C132" s="1" t="s">
        <v>13</v>
      </c>
      <c r="D132" s="1" t="s">
        <v>47</v>
      </c>
      <c r="E132" s="1" t="s">
        <v>446</v>
      </c>
      <c r="F132" s="1" t="s">
        <v>39</v>
      </c>
      <c r="G132" s="1" t="str">
        <f>"10051170156"</f>
        <v>10051170156</v>
      </c>
      <c r="I132" s="1" t="s">
        <v>447</v>
      </c>
      <c r="L132" s="1" t="s">
        <v>44</v>
      </c>
      <c r="M132" s="1" t="s">
        <v>448</v>
      </c>
      <c r="N132" s="1" t="s">
        <v>449</v>
      </c>
      <c r="O132" s="1" t="s">
        <v>450</v>
      </c>
      <c r="Q132" s="1" t="s">
        <v>451</v>
      </c>
      <c r="AJ132" s="2">
        <v>45048</v>
      </c>
    </row>
    <row r="133" spans="1:36">
      <c r="A133" s="1" t="str">
        <f>"979932961B"</f>
        <v>979932961B</v>
      </c>
      <c r="B133" s="1" t="str">
        <f t="shared" si="2"/>
        <v>02406911202</v>
      </c>
      <c r="C133" s="1" t="s">
        <v>13</v>
      </c>
      <c r="D133" s="1" t="s">
        <v>47</v>
      </c>
      <c r="E133" s="1" t="s">
        <v>452</v>
      </c>
      <c r="F133" s="1" t="s">
        <v>39</v>
      </c>
      <c r="G133" s="1" t="str">
        <f>"00422760587"</f>
        <v>00422760587</v>
      </c>
      <c r="I133" s="1" t="s">
        <v>453</v>
      </c>
      <c r="L133" s="1" t="s">
        <v>44</v>
      </c>
      <c r="M133" s="1" t="s">
        <v>454</v>
      </c>
      <c r="N133" s="1" t="s">
        <v>455</v>
      </c>
      <c r="O133" s="1" t="s">
        <v>456</v>
      </c>
      <c r="P133" s="1" t="s">
        <v>457</v>
      </c>
      <c r="Q133" s="1" t="s">
        <v>458</v>
      </c>
      <c r="AJ133" s="2">
        <v>45048</v>
      </c>
    </row>
    <row r="134" spans="1:36">
      <c r="A134" s="1" t="str">
        <f>"9799386525"</f>
        <v>9799386525</v>
      </c>
      <c r="B134" s="1" t="str">
        <f t="shared" si="2"/>
        <v>02406911202</v>
      </c>
      <c r="C134" s="1" t="s">
        <v>13</v>
      </c>
      <c r="D134" s="1" t="s">
        <v>47</v>
      </c>
      <c r="E134" s="1" t="s">
        <v>459</v>
      </c>
      <c r="F134" s="1" t="s">
        <v>39</v>
      </c>
      <c r="G134" s="1" t="str">
        <f>"11187430159"</f>
        <v>11187430159</v>
      </c>
      <c r="I134" s="1" t="s">
        <v>460</v>
      </c>
      <c r="L134" s="1" t="s">
        <v>44</v>
      </c>
      <c r="M134" s="1" t="s">
        <v>461</v>
      </c>
      <c r="N134" s="1" t="s">
        <v>462</v>
      </c>
      <c r="O134" s="1" t="s">
        <v>463</v>
      </c>
      <c r="Q134" s="1" t="s">
        <v>464</v>
      </c>
      <c r="AJ134" s="2">
        <v>45048</v>
      </c>
    </row>
    <row r="135" spans="1:36">
      <c r="A135" s="1" t="str">
        <f>"9625446152"</f>
        <v>9625446152</v>
      </c>
      <c r="B135" s="1" t="str">
        <f t="shared" si="2"/>
        <v>02406911202</v>
      </c>
      <c r="C135" s="1" t="s">
        <v>13</v>
      </c>
      <c r="D135" s="1" t="s">
        <v>47</v>
      </c>
      <c r="E135" s="1" t="s">
        <v>465</v>
      </c>
      <c r="F135" s="1" t="s">
        <v>39</v>
      </c>
      <c r="G135" s="1" t="str">
        <f>"07629110151"</f>
        <v>07629110151</v>
      </c>
      <c r="I135" s="1" t="s">
        <v>466</v>
      </c>
      <c r="L135" s="1" t="s">
        <v>44</v>
      </c>
      <c r="M135" s="1" t="s">
        <v>467</v>
      </c>
      <c r="O135" s="1" t="s">
        <v>467</v>
      </c>
      <c r="AJ135" s="2">
        <v>44987</v>
      </c>
    </row>
    <row r="136" spans="1:36">
      <c r="A136" s="1" t="str">
        <f>"9802720473"</f>
        <v>9802720473</v>
      </c>
      <c r="B136" s="1" t="str">
        <f t="shared" si="2"/>
        <v>02406911202</v>
      </c>
      <c r="C136" s="1" t="s">
        <v>13</v>
      </c>
      <c r="D136" s="1" t="s">
        <v>47</v>
      </c>
      <c r="E136" s="1" t="s">
        <v>468</v>
      </c>
      <c r="F136" s="1" t="s">
        <v>39</v>
      </c>
      <c r="G136" s="1" t="str">
        <f>"05688870483"</f>
        <v>05688870483</v>
      </c>
      <c r="I136" s="1" t="s">
        <v>264</v>
      </c>
      <c r="L136" s="1" t="s">
        <v>44</v>
      </c>
      <c r="M136" s="1" t="s">
        <v>469</v>
      </c>
      <c r="N136" s="1" t="s">
        <v>470</v>
      </c>
      <c r="S136" s="1" t="s">
        <v>471</v>
      </c>
      <c r="AJ136" s="2">
        <v>45049</v>
      </c>
    </row>
    <row r="137" spans="1:36">
      <c r="A137" s="1" t="str">
        <f>"9714688E22"</f>
        <v>9714688E22</v>
      </c>
      <c r="B137" s="1" t="str">
        <f t="shared" si="2"/>
        <v>02406911202</v>
      </c>
      <c r="C137" s="1" t="s">
        <v>13</v>
      </c>
      <c r="D137" s="1" t="s">
        <v>47</v>
      </c>
      <c r="E137" s="1" t="s">
        <v>472</v>
      </c>
      <c r="F137" s="1" t="s">
        <v>99</v>
      </c>
      <c r="G137" s="1" t="str">
        <f>"00281080374"</f>
        <v>00281080374</v>
      </c>
      <c r="I137" s="1" t="s">
        <v>473</v>
      </c>
      <c r="L137" s="1" t="s">
        <v>44</v>
      </c>
      <c r="M137" s="1" t="s">
        <v>474</v>
      </c>
      <c r="N137" s="1" t="s">
        <v>475</v>
      </c>
      <c r="P137" s="1" t="s">
        <v>476</v>
      </c>
      <c r="AJ137" s="2">
        <v>45002</v>
      </c>
    </row>
    <row r="138" spans="1:36">
      <c r="A138" s="1" t="str">
        <f>"96748090F5"</f>
        <v>96748090F5</v>
      </c>
      <c r="B138" s="1" t="str">
        <f t="shared" si="2"/>
        <v>02406911202</v>
      </c>
      <c r="C138" s="1" t="s">
        <v>13</v>
      </c>
      <c r="D138" s="1" t="s">
        <v>47</v>
      </c>
      <c r="E138" s="1" t="s">
        <v>477</v>
      </c>
      <c r="F138" s="1" t="s">
        <v>99</v>
      </c>
      <c r="G138" s="1" t="str">
        <f>"00136740404"</f>
        <v>00136740404</v>
      </c>
      <c r="I138" s="1" t="s">
        <v>439</v>
      </c>
      <c r="L138" s="1" t="s">
        <v>44</v>
      </c>
      <c r="M138" s="1" t="s">
        <v>478</v>
      </c>
      <c r="N138" s="1" t="s">
        <v>479</v>
      </c>
      <c r="P138" s="1" t="s">
        <v>480</v>
      </c>
      <c r="AJ138" s="2">
        <v>44986</v>
      </c>
    </row>
    <row r="139" spans="1:36">
      <c r="A139" s="1" t="str">
        <f>"9674820A06"</f>
        <v>9674820A06</v>
      </c>
      <c r="B139" s="1" t="str">
        <f t="shared" si="2"/>
        <v>02406911202</v>
      </c>
      <c r="C139" s="1" t="s">
        <v>13</v>
      </c>
      <c r="D139" s="1" t="s">
        <v>47</v>
      </c>
      <c r="E139" s="1" t="s">
        <v>481</v>
      </c>
      <c r="F139" s="1" t="s">
        <v>99</v>
      </c>
      <c r="G139" s="1" t="str">
        <f>"00136740404"</f>
        <v>00136740404</v>
      </c>
      <c r="I139" s="1" t="s">
        <v>439</v>
      </c>
      <c r="L139" s="1" t="s">
        <v>44</v>
      </c>
      <c r="M139" s="1" t="s">
        <v>482</v>
      </c>
      <c r="N139" s="1" t="s">
        <v>483</v>
      </c>
      <c r="O139" s="1" t="s">
        <v>484</v>
      </c>
      <c r="P139" s="1" t="s">
        <v>485</v>
      </c>
      <c r="S139" s="1" t="s">
        <v>486</v>
      </c>
      <c r="AJ139" s="2">
        <v>44986</v>
      </c>
    </row>
    <row r="140" spans="1:36">
      <c r="A140" s="1" t="str">
        <f>"97592568D1"</f>
        <v>97592568D1</v>
      </c>
      <c r="B140" s="1" t="str">
        <f t="shared" si="2"/>
        <v>02406911202</v>
      </c>
      <c r="C140" s="1" t="s">
        <v>13</v>
      </c>
      <c r="D140" s="1" t="s">
        <v>47</v>
      </c>
      <c r="E140" s="1" t="s">
        <v>487</v>
      </c>
      <c r="F140" s="1" t="s">
        <v>99</v>
      </c>
      <c r="G140" s="1" t="str">
        <f>"03980730372"</f>
        <v>03980730372</v>
      </c>
      <c r="I140" s="1" t="s">
        <v>488</v>
      </c>
      <c r="L140" s="1" t="s">
        <v>44</v>
      </c>
      <c r="M140" s="1" t="s">
        <v>489</v>
      </c>
      <c r="O140" s="1" t="s">
        <v>489</v>
      </c>
      <c r="AJ140" s="2">
        <v>45030</v>
      </c>
    </row>
    <row r="141" spans="1:36">
      <c r="A141" s="1" t="str">
        <f>"9754626C04"</f>
        <v>9754626C04</v>
      </c>
      <c r="B141" s="1" t="str">
        <f t="shared" si="2"/>
        <v>02406911202</v>
      </c>
      <c r="C141" s="1" t="s">
        <v>13</v>
      </c>
      <c r="D141" s="1" t="s">
        <v>47</v>
      </c>
      <c r="E141" s="1" t="s">
        <v>490</v>
      </c>
      <c r="F141" s="1" t="s">
        <v>39</v>
      </c>
      <c r="G141" s="1" t="str">
        <f>"13110270157"</f>
        <v>13110270157</v>
      </c>
      <c r="I141" s="1" t="s">
        <v>491</v>
      </c>
      <c r="L141" s="1" t="s">
        <v>44</v>
      </c>
      <c r="M141" s="1" t="s">
        <v>492</v>
      </c>
      <c r="O141" s="1" t="s">
        <v>492</v>
      </c>
      <c r="AJ141" s="2">
        <v>45020</v>
      </c>
    </row>
    <row r="142" spans="1:36">
      <c r="A142" s="1" t="str">
        <f>"97976425F3"</f>
        <v>97976425F3</v>
      </c>
      <c r="B142" s="1" t="str">
        <f t="shared" si="2"/>
        <v>02406911202</v>
      </c>
      <c r="C142" s="1" t="s">
        <v>13</v>
      </c>
      <c r="D142" s="1" t="s">
        <v>47</v>
      </c>
      <c r="E142" s="1" t="s">
        <v>493</v>
      </c>
      <c r="F142" s="1" t="s">
        <v>39</v>
      </c>
      <c r="G142" s="1" t="str">
        <f>"07435060152"</f>
        <v>07435060152</v>
      </c>
      <c r="I142" s="1" t="s">
        <v>359</v>
      </c>
      <c r="L142" s="1" t="s">
        <v>44</v>
      </c>
      <c r="M142" s="1" t="s">
        <v>494</v>
      </c>
      <c r="R142" s="1" t="s">
        <v>494</v>
      </c>
      <c r="AJ142" s="2">
        <v>45044</v>
      </c>
    </row>
    <row r="143" spans="1:36">
      <c r="A143" s="1" t="str">
        <f>"9797650C8B"</f>
        <v>9797650C8B</v>
      </c>
      <c r="B143" s="1" t="str">
        <f t="shared" si="2"/>
        <v>02406911202</v>
      </c>
      <c r="C143" s="1" t="s">
        <v>13</v>
      </c>
      <c r="D143" s="1" t="s">
        <v>47</v>
      </c>
      <c r="E143" s="1" t="s">
        <v>495</v>
      </c>
      <c r="F143" s="1" t="s">
        <v>39</v>
      </c>
      <c r="G143" s="1" t="str">
        <f>"07435060152"</f>
        <v>07435060152</v>
      </c>
      <c r="I143" s="1" t="s">
        <v>359</v>
      </c>
      <c r="L143" s="1" t="s">
        <v>44</v>
      </c>
      <c r="M143" s="1" t="s">
        <v>496</v>
      </c>
      <c r="O143" s="1" t="s">
        <v>497</v>
      </c>
      <c r="Q143" s="1" t="s">
        <v>498</v>
      </c>
      <c r="S143" s="1" t="s">
        <v>499</v>
      </c>
      <c r="AJ143" s="2">
        <v>45044</v>
      </c>
    </row>
    <row r="144" spans="1:36">
      <c r="A144" s="1" t="str">
        <f>"9794076731"</f>
        <v>9794076731</v>
      </c>
      <c r="B144" s="1" t="str">
        <f t="shared" si="2"/>
        <v>02406911202</v>
      </c>
      <c r="C144" s="1" t="s">
        <v>13</v>
      </c>
      <c r="D144" s="1" t="s">
        <v>47</v>
      </c>
      <c r="E144" s="1" t="s">
        <v>500</v>
      </c>
      <c r="F144" s="1" t="s">
        <v>39</v>
      </c>
      <c r="G144" s="1" t="str">
        <f>"11206730159"</f>
        <v>11206730159</v>
      </c>
      <c r="I144" s="1" t="s">
        <v>192</v>
      </c>
      <c r="L144" s="1" t="s">
        <v>44</v>
      </c>
      <c r="M144" s="1" t="s">
        <v>501</v>
      </c>
      <c r="O144" s="1" t="s">
        <v>501</v>
      </c>
      <c r="AJ144" s="2">
        <v>45043</v>
      </c>
    </row>
    <row r="145" spans="1:36">
      <c r="A145" s="1" t="str">
        <f>"97940902C0"</f>
        <v>97940902C0</v>
      </c>
      <c r="B145" s="1" t="str">
        <f t="shared" si="2"/>
        <v>02406911202</v>
      </c>
      <c r="C145" s="1" t="s">
        <v>13</v>
      </c>
      <c r="D145" s="1" t="s">
        <v>47</v>
      </c>
      <c r="E145" s="1" t="s">
        <v>500</v>
      </c>
      <c r="F145" s="1" t="s">
        <v>39</v>
      </c>
      <c r="G145" s="1" t="str">
        <f>"07279701002"</f>
        <v>07279701002</v>
      </c>
      <c r="I145" s="1" t="s">
        <v>96</v>
      </c>
      <c r="L145" s="1" t="s">
        <v>44</v>
      </c>
      <c r="M145" s="1" t="s">
        <v>502</v>
      </c>
      <c r="O145" s="1" t="s">
        <v>502</v>
      </c>
      <c r="AJ145" s="2">
        <v>45043</v>
      </c>
    </row>
    <row r="146" spans="1:36">
      <c r="A146" s="1" t="str">
        <f>"9892453676"</f>
        <v>9892453676</v>
      </c>
      <c r="B146" s="1" t="str">
        <f t="shared" si="2"/>
        <v>02406911202</v>
      </c>
      <c r="C146" s="1" t="s">
        <v>13</v>
      </c>
      <c r="D146" s="1" t="s">
        <v>47</v>
      </c>
      <c r="E146" s="1" t="s">
        <v>503</v>
      </c>
      <c r="F146" s="1" t="s">
        <v>39</v>
      </c>
      <c r="G146" s="1" t="str">
        <f>"00791570153"</f>
        <v>00791570153</v>
      </c>
      <c r="I146" s="1" t="s">
        <v>504</v>
      </c>
      <c r="L146" s="1" t="s">
        <v>44</v>
      </c>
      <c r="M146" s="1" t="s">
        <v>505</v>
      </c>
      <c r="O146" s="1" t="s">
        <v>506</v>
      </c>
      <c r="Q146" s="1" t="s">
        <v>507</v>
      </c>
      <c r="AJ146" s="2">
        <v>45093</v>
      </c>
    </row>
    <row r="147" spans="1:36">
      <c r="A147" s="1" t="str">
        <f>"9860505A22"</f>
        <v>9860505A22</v>
      </c>
      <c r="B147" s="1" t="str">
        <f t="shared" si="2"/>
        <v>02406911202</v>
      </c>
      <c r="C147" s="1" t="s">
        <v>13</v>
      </c>
      <c r="D147" s="1" t="s">
        <v>47</v>
      </c>
      <c r="E147" s="1" t="s">
        <v>508</v>
      </c>
      <c r="F147" s="1" t="s">
        <v>39</v>
      </c>
      <c r="G147" s="1" t="str">
        <f>"05688870483"</f>
        <v>05688870483</v>
      </c>
      <c r="I147" s="1" t="s">
        <v>264</v>
      </c>
      <c r="L147" s="1" t="s">
        <v>44</v>
      </c>
      <c r="M147" s="1" t="s">
        <v>509</v>
      </c>
      <c r="N147" s="1" t="s">
        <v>509</v>
      </c>
      <c r="Q147" s="1" t="s">
        <v>124</v>
      </c>
      <c r="AJ147" s="2">
        <v>45078</v>
      </c>
    </row>
    <row r="148" spans="1:36">
      <c r="A148" s="1" t="str">
        <f>"98605238FD"</f>
        <v>98605238FD</v>
      </c>
      <c r="B148" s="1" t="str">
        <f t="shared" si="2"/>
        <v>02406911202</v>
      </c>
      <c r="C148" s="1" t="s">
        <v>13</v>
      </c>
      <c r="D148" s="1" t="s">
        <v>47</v>
      </c>
      <c r="E148" s="1" t="s">
        <v>508</v>
      </c>
      <c r="F148" s="1" t="s">
        <v>39</v>
      </c>
      <c r="G148" s="1" t="str">
        <f>"00076670595"</f>
        <v>00076670595</v>
      </c>
      <c r="I148" s="1" t="s">
        <v>133</v>
      </c>
      <c r="L148" s="1" t="s">
        <v>44</v>
      </c>
      <c r="M148" s="1" t="s">
        <v>510</v>
      </c>
      <c r="N148" s="1" t="s">
        <v>511</v>
      </c>
      <c r="Q148" s="1" t="s">
        <v>512</v>
      </c>
      <c r="AJ148" s="2">
        <v>45078</v>
      </c>
    </row>
    <row r="149" spans="1:36">
      <c r="A149" s="1" t="str">
        <f>"98605363B9"</f>
        <v>98605363B9</v>
      </c>
      <c r="B149" s="1" t="str">
        <f t="shared" si="2"/>
        <v>02406911202</v>
      </c>
      <c r="C149" s="1" t="s">
        <v>13</v>
      </c>
      <c r="D149" s="1" t="s">
        <v>47</v>
      </c>
      <c r="E149" s="1" t="s">
        <v>508</v>
      </c>
      <c r="F149" s="1" t="s">
        <v>39</v>
      </c>
      <c r="G149" s="1" t="str">
        <f>"13522771008"</f>
        <v>13522771008</v>
      </c>
      <c r="I149" s="1" t="s">
        <v>271</v>
      </c>
      <c r="L149" s="1" t="s">
        <v>44</v>
      </c>
      <c r="M149" s="1" t="s">
        <v>513</v>
      </c>
      <c r="N149" s="1" t="s">
        <v>514</v>
      </c>
      <c r="Q149" s="1" t="s">
        <v>515</v>
      </c>
      <c r="AJ149" s="2">
        <v>45078</v>
      </c>
    </row>
    <row r="150" spans="1:36">
      <c r="A150" s="1" t="str">
        <f>"98605596B3"</f>
        <v>98605596B3</v>
      </c>
      <c r="B150" s="1" t="str">
        <f t="shared" si="2"/>
        <v>02406911202</v>
      </c>
      <c r="C150" s="1" t="s">
        <v>13</v>
      </c>
      <c r="D150" s="1" t="s">
        <v>47</v>
      </c>
      <c r="E150" s="1" t="s">
        <v>508</v>
      </c>
      <c r="F150" s="1" t="s">
        <v>39</v>
      </c>
      <c r="G150" s="1" t="str">
        <f>"09050810960"</f>
        <v>09050810960</v>
      </c>
      <c r="I150" s="1" t="s">
        <v>118</v>
      </c>
      <c r="L150" s="1" t="s">
        <v>44</v>
      </c>
      <c r="M150" s="1" t="s">
        <v>516</v>
      </c>
      <c r="N150" s="1" t="s">
        <v>517</v>
      </c>
      <c r="Q150" s="1" t="s">
        <v>518</v>
      </c>
      <c r="AJ150" s="2">
        <v>45078</v>
      </c>
    </row>
    <row r="151" spans="1:36">
      <c r="A151" s="1" t="str">
        <f>"986057758E"</f>
        <v>986057758E</v>
      </c>
      <c r="B151" s="1" t="str">
        <f t="shared" si="2"/>
        <v>02406911202</v>
      </c>
      <c r="C151" s="1" t="s">
        <v>13</v>
      </c>
      <c r="D151" s="1" t="s">
        <v>47</v>
      </c>
      <c r="E151" s="1" t="s">
        <v>508</v>
      </c>
      <c r="F151" s="1" t="s">
        <v>39</v>
      </c>
      <c r="G151" s="1" t="str">
        <f>"00832400154"</f>
        <v>00832400154</v>
      </c>
      <c r="I151" s="1" t="s">
        <v>285</v>
      </c>
      <c r="L151" s="1" t="s">
        <v>44</v>
      </c>
      <c r="M151" s="1" t="s">
        <v>519</v>
      </c>
      <c r="N151" s="1" t="s">
        <v>520</v>
      </c>
      <c r="Q151" s="1" t="s">
        <v>521</v>
      </c>
      <c r="AJ151" s="2">
        <v>45078</v>
      </c>
    </row>
    <row r="152" spans="1:36">
      <c r="A152" s="1" t="str">
        <f>"97920363BC"</f>
        <v>97920363BC</v>
      </c>
      <c r="B152" s="1" t="str">
        <f t="shared" si="2"/>
        <v>02406911202</v>
      </c>
      <c r="C152" s="1" t="s">
        <v>13</v>
      </c>
      <c r="D152" s="1" t="s">
        <v>47</v>
      </c>
      <c r="E152" s="1" t="s">
        <v>522</v>
      </c>
      <c r="F152" s="1" t="s">
        <v>39</v>
      </c>
      <c r="G152" s="1" t="str">
        <f>"11264670156"</f>
        <v>11264670156</v>
      </c>
      <c r="I152" s="1" t="s">
        <v>64</v>
      </c>
      <c r="L152" s="1" t="s">
        <v>44</v>
      </c>
      <c r="M152" s="1" t="s">
        <v>523</v>
      </c>
      <c r="N152" s="1" t="s">
        <v>524</v>
      </c>
      <c r="O152" s="1" t="s">
        <v>525</v>
      </c>
      <c r="Q152" s="1" t="s">
        <v>526</v>
      </c>
      <c r="AJ152" s="2">
        <v>45042</v>
      </c>
    </row>
    <row r="153" spans="1:36">
      <c r="A153" s="1" t="str">
        <f>"9792225FB0"</f>
        <v>9792225FB0</v>
      </c>
      <c r="B153" s="1" t="str">
        <f t="shared" si="2"/>
        <v>02406911202</v>
      </c>
      <c r="C153" s="1" t="s">
        <v>13</v>
      </c>
      <c r="D153" s="1" t="s">
        <v>47</v>
      </c>
      <c r="E153" s="1" t="s">
        <v>522</v>
      </c>
      <c r="F153" s="1" t="s">
        <v>39</v>
      </c>
      <c r="G153" s="1" t="str">
        <f>"09238800156"</f>
        <v>09238800156</v>
      </c>
      <c r="I153" s="1" t="s">
        <v>88</v>
      </c>
      <c r="L153" s="1" t="s">
        <v>44</v>
      </c>
      <c r="M153" s="1" t="s">
        <v>527</v>
      </c>
      <c r="N153" s="1" t="s">
        <v>528</v>
      </c>
      <c r="O153" s="1" t="s">
        <v>529</v>
      </c>
      <c r="Q153" s="1" t="s">
        <v>530</v>
      </c>
      <c r="AJ153" s="2">
        <v>45042</v>
      </c>
    </row>
    <row r="154" spans="1:36">
      <c r="A154" s="1" t="str">
        <f>"9792249382"</f>
        <v>9792249382</v>
      </c>
      <c r="B154" s="1" t="str">
        <f t="shared" si="2"/>
        <v>02406911202</v>
      </c>
      <c r="C154" s="1" t="s">
        <v>13</v>
      </c>
      <c r="D154" s="1" t="s">
        <v>47</v>
      </c>
      <c r="E154" s="1" t="s">
        <v>522</v>
      </c>
      <c r="F154" s="1" t="s">
        <v>39</v>
      </c>
      <c r="G154" s="1" t="str">
        <f>"02654900022"</f>
        <v>02654900022</v>
      </c>
      <c r="I154" s="1" t="s">
        <v>531</v>
      </c>
      <c r="L154" s="1" t="s">
        <v>44</v>
      </c>
      <c r="M154" s="1" t="s">
        <v>532</v>
      </c>
      <c r="N154" s="1" t="s">
        <v>533</v>
      </c>
      <c r="O154" s="1" t="s">
        <v>534</v>
      </c>
      <c r="Q154" s="1" t="s">
        <v>535</v>
      </c>
      <c r="AJ154" s="2">
        <v>45042</v>
      </c>
    </row>
    <row r="155" spans="1:36">
      <c r="A155" s="1" t="str">
        <f>"97922715A9"</f>
        <v>97922715A9</v>
      </c>
      <c r="B155" s="1" t="str">
        <f t="shared" si="2"/>
        <v>02406911202</v>
      </c>
      <c r="C155" s="1" t="s">
        <v>13</v>
      </c>
      <c r="D155" s="1" t="s">
        <v>47</v>
      </c>
      <c r="E155" s="1" t="s">
        <v>522</v>
      </c>
      <c r="F155" s="1" t="s">
        <v>39</v>
      </c>
      <c r="G155" s="1" t="str">
        <f>"11206730159"</f>
        <v>11206730159</v>
      </c>
      <c r="I155" s="1" t="s">
        <v>192</v>
      </c>
      <c r="L155" s="1" t="s">
        <v>44</v>
      </c>
      <c r="M155" s="1" t="s">
        <v>536</v>
      </c>
      <c r="N155" s="1" t="s">
        <v>537</v>
      </c>
      <c r="O155" s="1" t="s">
        <v>538</v>
      </c>
      <c r="Q155" s="1" t="s">
        <v>539</v>
      </c>
      <c r="AJ155" s="2">
        <v>45042</v>
      </c>
    </row>
    <row r="156" spans="1:36">
      <c r="A156" s="1" t="str">
        <f>"979229162A"</f>
        <v>979229162A</v>
      </c>
      <c r="B156" s="1" t="str">
        <f t="shared" si="2"/>
        <v>02406911202</v>
      </c>
      <c r="C156" s="1" t="s">
        <v>13</v>
      </c>
      <c r="D156" s="1" t="s">
        <v>47</v>
      </c>
      <c r="E156" s="1" t="s">
        <v>522</v>
      </c>
      <c r="F156" s="1" t="s">
        <v>39</v>
      </c>
      <c r="G156" s="1" t="str">
        <f>"09699320017"</f>
        <v>09699320017</v>
      </c>
      <c r="I156" s="1" t="s">
        <v>540</v>
      </c>
      <c r="L156" s="1" t="s">
        <v>44</v>
      </c>
      <c r="M156" s="1" t="s">
        <v>541</v>
      </c>
      <c r="N156" s="1" t="s">
        <v>542</v>
      </c>
      <c r="O156" s="1" t="s">
        <v>543</v>
      </c>
      <c r="Q156" s="1" t="s">
        <v>544</v>
      </c>
      <c r="AJ156" s="2">
        <v>45042</v>
      </c>
    </row>
    <row r="157" spans="1:36">
      <c r="A157" s="1" t="str">
        <f>"9717565452"</f>
        <v>9717565452</v>
      </c>
      <c r="B157" s="1" t="str">
        <f t="shared" si="2"/>
        <v>02406911202</v>
      </c>
      <c r="C157" s="1" t="s">
        <v>13</v>
      </c>
      <c r="D157" s="1" t="s">
        <v>47</v>
      </c>
      <c r="E157" s="1" t="s">
        <v>545</v>
      </c>
      <c r="F157" s="1" t="s">
        <v>431</v>
      </c>
      <c r="G157" s="1" t="str">
        <f>"01140030360"</f>
        <v>01140030360</v>
      </c>
      <c r="I157" s="1" t="s">
        <v>171</v>
      </c>
      <c r="L157" s="1" t="s">
        <v>41</v>
      </c>
      <c r="AJ157" s="2">
        <v>45001</v>
      </c>
    </row>
    <row r="158" spans="1:36">
      <c r="A158" s="1" t="str">
        <f>"97176423DD"</f>
        <v>97176423DD</v>
      </c>
      <c r="B158" s="1" t="str">
        <f t="shared" si="2"/>
        <v>02406911202</v>
      </c>
      <c r="C158" s="1" t="s">
        <v>13</v>
      </c>
      <c r="D158" s="1" t="s">
        <v>47</v>
      </c>
      <c r="E158" s="1" t="s">
        <v>545</v>
      </c>
      <c r="F158" s="1" t="s">
        <v>431</v>
      </c>
      <c r="G158" s="1" t="str">
        <f>"07668030583"</f>
        <v>07668030583</v>
      </c>
      <c r="I158" s="1" t="s">
        <v>314</v>
      </c>
      <c r="L158" s="1" t="s">
        <v>41</v>
      </c>
      <c r="AJ158" s="2">
        <v>45001</v>
      </c>
    </row>
    <row r="159" spans="1:36">
      <c r="A159" s="1" t="str">
        <f>"97176423DD"</f>
        <v>97176423DD</v>
      </c>
      <c r="B159" s="1" t="str">
        <f t="shared" si="2"/>
        <v>02406911202</v>
      </c>
      <c r="C159" s="1" t="s">
        <v>13</v>
      </c>
      <c r="D159" s="1" t="s">
        <v>47</v>
      </c>
      <c r="E159" s="1" t="s">
        <v>545</v>
      </c>
      <c r="F159" s="1" t="s">
        <v>431</v>
      </c>
      <c r="G159" s="1" t="str">
        <f>"01140030360"</f>
        <v>01140030360</v>
      </c>
      <c r="I159" s="1" t="s">
        <v>171</v>
      </c>
      <c r="L159" s="1" t="s">
        <v>41</v>
      </c>
      <c r="AJ159" s="2">
        <v>45001</v>
      </c>
    </row>
    <row r="160" spans="1:36">
      <c r="A160" s="1" t="str">
        <f>"971766245E"</f>
        <v>971766245E</v>
      </c>
      <c r="B160" s="1" t="str">
        <f t="shared" si="2"/>
        <v>02406911202</v>
      </c>
      <c r="C160" s="1" t="s">
        <v>13</v>
      </c>
      <c r="D160" s="1" t="s">
        <v>47</v>
      </c>
      <c r="E160" s="1" t="s">
        <v>545</v>
      </c>
      <c r="F160" s="1" t="s">
        <v>431</v>
      </c>
      <c r="G160" s="1" t="str">
        <f>"00674840152"</f>
        <v>00674840152</v>
      </c>
      <c r="I160" s="1" t="s">
        <v>190</v>
      </c>
      <c r="L160" s="1" t="s">
        <v>41</v>
      </c>
      <c r="AJ160" s="2">
        <v>45001</v>
      </c>
    </row>
    <row r="161" spans="1:37">
      <c r="A161" s="1" t="str">
        <f>"971766245E"</f>
        <v>971766245E</v>
      </c>
      <c r="B161" s="1" t="str">
        <f t="shared" si="2"/>
        <v>02406911202</v>
      </c>
      <c r="C161" s="1" t="s">
        <v>13</v>
      </c>
      <c r="D161" s="1" t="s">
        <v>47</v>
      </c>
      <c r="E161" s="1" t="s">
        <v>545</v>
      </c>
      <c r="F161" s="1" t="s">
        <v>431</v>
      </c>
      <c r="G161" s="1" t="str">
        <f>"07668030583"</f>
        <v>07668030583</v>
      </c>
      <c r="I161" s="1" t="s">
        <v>314</v>
      </c>
      <c r="L161" s="1" t="s">
        <v>41</v>
      </c>
      <c r="AJ161" s="2">
        <v>45001</v>
      </c>
    </row>
    <row r="162" spans="1:37">
      <c r="A162" s="1" t="str">
        <f>"971768682B"</f>
        <v>971768682B</v>
      </c>
      <c r="B162" s="1" t="str">
        <f t="shared" si="2"/>
        <v>02406911202</v>
      </c>
      <c r="C162" s="1" t="s">
        <v>13</v>
      </c>
      <c r="D162" s="1" t="s">
        <v>47</v>
      </c>
      <c r="E162" s="1" t="s">
        <v>545</v>
      </c>
      <c r="F162" s="1" t="s">
        <v>431</v>
      </c>
      <c r="G162" s="1" t="str">
        <f>"03748120155"</f>
        <v>03748120155</v>
      </c>
      <c r="I162" s="1" t="s">
        <v>309</v>
      </c>
      <c r="L162" s="1" t="s">
        <v>41</v>
      </c>
      <c r="AJ162" s="2">
        <v>45001</v>
      </c>
    </row>
    <row r="163" spans="1:37">
      <c r="A163" s="1" t="str">
        <f>"971770148D"</f>
        <v>971770148D</v>
      </c>
      <c r="B163" s="1" t="str">
        <f t="shared" si="2"/>
        <v>02406911202</v>
      </c>
      <c r="C163" s="1" t="s">
        <v>13</v>
      </c>
      <c r="D163" s="1" t="s">
        <v>47</v>
      </c>
      <c r="E163" s="1" t="s">
        <v>545</v>
      </c>
      <c r="F163" s="1" t="s">
        <v>431</v>
      </c>
      <c r="G163" s="1" t="str">
        <f>"03748120155"</f>
        <v>03748120155</v>
      </c>
      <c r="I163" s="1" t="s">
        <v>309</v>
      </c>
      <c r="L163" s="1" t="s">
        <v>41</v>
      </c>
      <c r="AJ163" s="2">
        <v>45001</v>
      </c>
    </row>
    <row r="164" spans="1:37">
      <c r="A164" s="1" t="str">
        <f>"9718101EA1"</f>
        <v>9718101EA1</v>
      </c>
      <c r="B164" s="1" t="str">
        <f t="shared" si="2"/>
        <v>02406911202</v>
      </c>
      <c r="C164" s="1" t="s">
        <v>13</v>
      </c>
      <c r="D164" s="1" t="s">
        <v>47</v>
      </c>
      <c r="E164" s="1" t="s">
        <v>545</v>
      </c>
      <c r="F164" s="1" t="s">
        <v>431</v>
      </c>
      <c r="G164" s="1" t="str">
        <f>"03748120155"</f>
        <v>03748120155</v>
      </c>
      <c r="I164" s="1" t="s">
        <v>309</v>
      </c>
      <c r="L164" s="1" t="s">
        <v>41</v>
      </c>
      <c r="AJ164" s="2">
        <v>45001</v>
      </c>
    </row>
    <row r="165" spans="1:37">
      <c r="A165" s="1" t="str">
        <f>"9718101EA1"</f>
        <v>9718101EA1</v>
      </c>
      <c r="B165" s="1" t="str">
        <f t="shared" si="2"/>
        <v>02406911202</v>
      </c>
      <c r="C165" s="1" t="s">
        <v>13</v>
      </c>
      <c r="D165" s="1" t="s">
        <v>47</v>
      </c>
      <c r="E165" s="1" t="s">
        <v>545</v>
      </c>
      <c r="F165" s="1" t="s">
        <v>431</v>
      </c>
      <c r="G165" s="1" t="str">
        <f>"01140030360"</f>
        <v>01140030360</v>
      </c>
      <c r="I165" s="1" t="s">
        <v>171</v>
      </c>
      <c r="L165" s="1" t="s">
        <v>41</v>
      </c>
      <c r="AJ165" s="2">
        <v>45001</v>
      </c>
    </row>
    <row r="166" spans="1:37">
      <c r="A166" s="1" t="str">
        <f>"9718131765"</f>
        <v>9718131765</v>
      </c>
      <c r="B166" s="1" t="str">
        <f t="shared" si="2"/>
        <v>02406911202</v>
      </c>
      <c r="C166" s="1" t="s">
        <v>13</v>
      </c>
      <c r="D166" s="1" t="s">
        <v>47</v>
      </c>
      <c r="E166" s="1" t="s">
        <v>545</v>
      </c>
      <c r="F166" s="1" t="s">
        <v>431</v>
      </c>
      <c r="G166" s="1" t="str">
        <f>"03748120155"</f>
        <v>03748120155</v>
      </c>
      <c r="I166" s="1" t="s">
        <v>309</v>
      </c>
      <c r="L166" s="1" t="s">
        <v>41</v>
      </c>
      <c r="AJ166" s="2">
        <v>45001</v>
      </c>
    </row>
    <row r="167" spans="1:37">
      <c r="A167" s="1" t="str">
        <f>"9718140ED0"</f>
        <v>9718140ED0</v>
      </c>
      <c r="B167" s="1" t="str">
        <f t="shared" si="2"/>
        <v>02406911202</v>
      </c>
      <c r="C167" s="1" t="s">
        <v>13</v>
      </c>
      <c r="D167" s="1" t="s">
        <v>47</v>
      </c>
      <c r="E167" s="1" t="s">
        <v>545</v>
      </c>
      <c r="F167" s="1" t="s">
        <v>431</v>
      </c>
      <c r="G167" s="1" t="str">
        <f>"01140030360"</f>
        <v>01140030360</v>
      </c>
      <c r="I167" s="1" t="s">
        <v>171</v>
      </c>
      <c r="L167" s="1" t="s">
        <v>41</v>
      </c>
      <c r="AJ167" s="2">
        <v>45001</v>
      </c>
    </row>
    <row r="168" spans="1:37">
      <c r="A168" s="1" t="str">
        <f>"9718154A5F"</f>
        <v>9718154A5F</v>
      </c>
      <c r="B168" s="1" t="str">
        <f t="shared" si="2"/>
        <v>02406911202</v>
      </c>
      <c r="C168" s="1" t="s">
        <v>13</v>
      </c>
      <c r="D168" s="1" t="s">
        <v>47</v>
      </c>
      <c r="E168" s="1" t="s">
        <v>545</v>
      </c>
      <c r="F168" s="1" t="s">
        <v>431</v>
      </c>
      <c r="M168" s="1" t="s">
        <v>124</v>
      </c>
      <c r="AJ168" s="2">
        <v>45001</v>
      </c>
      <c r="AK168" s="1" t="s">
        <v>546</v>
      </c>
    </row>
    <row r="169" spans="1:37">
      <c r="A169" s="1" t="str">
        <f>"9718179EFF"</f>
        <v>9718179EFF</v>
      </c>
      <c r="B169" s="1" t="str">
        <f t="shared" si="2"/>
        <v>02406911202</v>
      </c>
      <c r="C169" s="1" t="s">
        <v>13</v>
      </c>
      <c r="D169" s="1" t="s">
        <v>47</v>
      </c>
      <c r="E169" s="1" t="s">
        <v>545</v>
      </c>
      <c r="F169" s="1" t="s">
        <v>431</v>
      </c>
      <c r="G169" s="1" t="str">
        <f>"01140030360"</f>
        <v>01140030360</v>
      </c>
      <c r="I169" s="1" t="s">
        <v>171</v>
      </c>
      <c r="L169" s="1" t="s">
        <v>41</v>
      </c>
      <c r="AJ169" s="2">
        <v>45001</v>
      </c>
    </row>
    <row r="170" spans="1:37">
      <c r="A170" s="1" t="str">
        <f>"9718184323"</f>
        <v>9718184323</v>
      </c>
      <c r="B170" s="1" t="str">
        <f t="shared" si="2"/>
        <v>02406911202</v>
      </c>
      <c r="C170" s="1" t="s">
        <v>13</v>
      </c>
      <c r="D170" s="1" t="s">
        <v>47</v>
      </c>
      <c r="E170" s="1" t="s">
        <v>545</v>
      </c>
      <c r="F170" s="1" t="s">
        <v>431</v>
      </c>
      <c r="G170" s="1" t="str">
        <f>"01140030360"</f>
        <v>01140030360</v>
      </c>
      <c r="I170" s="1" t="s">
        <v>171</v>
      </c>
      <c r="L170" s="1" t="s">
        <v>41</v>
      </c>
      <c r="AJ170" s="2">
        <v>45001</v>
      </c>
    </row>
    <row r="171" spans="1:37">
      <c r="A171" s="1" t="str">
        <f>"9718190815"</f>
        <v>9718190815</v>
      </c>
      <c r="B171" s="1" t="str">
        <f t="shared" si="2"/>
        <v>02406911202</v>
      </c>
      <c r="C171" s="1" t="s">
        <v>13</v>
      </c>
      <c r="D171" s="1" t="s">
        <v>47</v>
      </c>
      <c r="E171" s="1" t="s">
        <v>545</v>
      </c>
      <c r="F171" s="1" t="s">
        <v>431</v>
      </c>
      <c r="M171" s="1" t="s">
        <v>124</v>
      </c>
      <c r="AJ171" s="2">
        <v>45001</v>
      </c>
      <c r="AK171" s="1" t="s">
        <v>546</v>
      </c>
    </row>
    <row r="172" spans="1:37">
      <c r="A172" s="1" t="str">
        <f>"9718196D07"</f>
        <v>9718196D07</v>
      </c>
      <c r="B172" s="1" t="str">
        <f t="shared" si="2"/>
        <v>02406911202</v>
      </c>
      <c r="C172" s="1" t="s">
        <v>13</v>
      </c>
      <c r="D172" s="1" t="s">
        <v>47</v>
      </c>
      <c r="E172" s="1" t="s">
        <v>545</v>
      </c>
      <c r="F172" s="1" t="s">
        <v>431</v>
      </c>
      <c r="G172" s="1" t="str">
        <f>"08230471008"</f>
        <v>08230471008</v>
      </c>
      <c r="I172" s="1" t="s">
        <v>547</v>
      </c>
      <c r="L172" s="1" t="s">
        <v>41</v>
      </c>
      <c r="AJ172" s="2">
        <v>45001</v>
      </c>
    </row>
    <row r="173" spans="1:37">
      <c r="A173" s="1" t="str">
        <f>"97182043A4"</f>
        <v>97182043A4</v>
      </c>
      <c r="B173" s="1" t="str">
        <f t="shared" si="2"/>
        <v>02406911202</v>
      </c>
      <c r="C173" s="1" t="s">
        <v>13</v>
      </c>
      <c r="D173" s="1" t="s">
        <v>47</v>
      </c>
      <c r="E173" s="1" t="s">
        <v>545</v>
      </c>
      <c r="F173" s="1" t="s">
        <v>431</v>
      </c>
      <c r="G173" s="1" t="str">
        <f>"03225090723"</f>
        <v>03225090723</v>
      </c>
      <c r="I173" s="1" t="s">
        <v>548</v>
      </c>
      <c r="L173" s="1" t="s">
        <v>41</v>
      </c>
      <c r="AJ173" s="2">
        <v>45001</v>
      </c>
    </row>
    <row r="174" spans="1:37">
      <c r="A174" s="1" t="str">
        <f>"97182043A4"</f>
        <v>97182043A4</v>
      </c>
      <c r="B174" s="1" t="str">
        <f t="shared" si="2"/>
        <v>02406911202</v>
      </c>
      <c r="C174" s="1" t="s">
        <v>13</v>
      </c>
      <c r="D174" s="1" t="s">
        <v>47</v>
      </c>
      <c r="E174" s="1" t="s">
        <v>545</v>
      </c>
      <c r="F174" s="1" t="s">
        <v>431</v>
      </c>
      <c r="G174" s="1" t="str">
        <f>"00803890151"</f>
        <v>00803890151</v>
      </c>
      <c r="I174" s="1" t="s">
        <v>68</v>
      </c>
      <c r="L174" s="1" t="s">
        <v>41</v>
      </c>
      <c r="AJ174" s="2">
        <v>45001</v>
      </c>
    </row>
    <row r="175" spans="1:37">
      <c r="A175" s="1" t="str">
        <f>"9718212A3C"</f>
        <v>9718212A3C</v>
      </c>
      <c r="B175" s="1" t="str">
        <f t="shared" si="2"/>
        <v>02406911202</v>
      </c>
      <c r="C175" s="1" t="s">
        <v>13</v>
      </c>
      <c r="D175" s="1" t="s">
        <v>47</v>
      </c>
      <c r="E175" s="1" t="s">
        <v>545</v>
      </c>
      <c r="F175" s="1" t="s">
        <v>431</v>
      </c>
      <c r="M175" s="1" t="s">
        <v>124</v>
      </c>
      <c r="AJ175" s="2">
        <v>45001</v>
      </c>
      <c r="AK175" s="1" t="s">
        <v>546</v>
      </c>
    </row>
    <row r="176" spans="1:37">
      <c r="A176" s="1" t="str">
        <f>"9718219006"</f>
        <v>9718219006</v>
      </c>
      <c r="B176" s="1" t="str">
        <f t="shared" si="2"/>
        <v>02406911202</v>
      </c>
      <c r="C176" s="1" t="s">
        <v>13</v>
      </c>
      <c r="D176" s="1" t="s">
        <v>47</v>
      </c>
      <c r="E176" s="1" t="s">
        <v>545</v>
      </c>
      <c r="F176" s="1" t="s">
        <v>431</v>
      </c>
      <c r="G176" s="1" t="str">
        <f>"09693591001"</f>
        <v>09693591001</v>
      </c>
      <c r="I176" s="1" t="s">
        <v>396</v>
      </c>
      <c r="L176" s="1" t="s">
        <v>41</v>
      </c>
      <c r="AJ176" s="2">
        <v>45001</v>
      </c>
    </row>
    <row r="177" spans="1:37">
      <c r="A177" s="1" t="str">
        <f>"9718224425"</f>
        <v>9718224425</v>
      </c>
      <c r="B177" s="1" t="str">
        <f t="shared" si="2"/>
        <v>02406911202</v>
      </c>
      <c r="C177" s="1" t="s">
        <v>13</v>
      </c>
      <c r="D177" s="1" t="s">
        <v>47</v>
      </c>
      <c r="E177" s="1" t="s">
        <v>545</v>
      </c>
      <c r="F177" s="1" t="s">
        <v>431</v>
      </c>
      <c r="G177" s="1" t="str">
        <f>"03748120155"</f>
        <v>03748120155</v>
      </c>
      <c r="I177" s="1" t="s">
        <v>309</v>
      </c>
      <c r="L177" s="1" t="s">
        <v>41</v>
      </c>
      <c r="AJ177" s="2">
        <v>45001</v>
      </c>
    </row>
    <row r="178" spans="1:37">
      <c r="A178" s="1" t="str">
        <f>"9718234C63"</f>
        <v>9718234C63</v>
      </c>
      <c r="B178" s="1" t="str">
        <f t="shared" si="2"/>
        <v>02406911202</v>
      </c>
      <c r="C178" s="1" t="s">
        <v>13</v>
      </c>
      <c r="D178" s="1" t="s">
        <v>47</v>
      </c>
      <c r="E178" s="1" t="s">
        <v>545</v>
      </c>
      <c r="F178" s="1" t="s">
        <v>431</v>
      </c>
      <c r="G178" s="1" t="str">
        <f>"07668030583"</f>
        <v>07668030583</v>
      </c>
      <c r="I178" s="1" t="s">
        <v>314</v>
      </c>
      <c r="L178" s="1" t="s">
        <v>41</v>
      </c>
      <c r="AJ178" s="2">
        <v>45001</v>
      </c>
    </row>
    <row r="179" spans="1:37">
      <c r="A179" s="1" t="str">
        <f>"97182444A6"</f>
        <v>97182444A6</v>
      </c>
      <c r="B179" s="1" t="str">
        <f t="shared" si="2"/>
        <v>02406911202</v>
      </c>
      <c r="C179" s="1" t="s">
        <v>13</v>
      </c>
      <c r="D179" s="1" t="s">
        <v>47</v>
      </c>
      <c r="E179" s="1" t="s">
        <v>545</v>
      </c>
      <c r="F179" s="1" t="s">
        <v>431</v>
      </c>
      <c r="G179" s="1" t="str">
        <f>"07668030583"</f>
        <v>07668030583</v>
      </c>
      <c r="I179" s="1" t="s">
        <v>314</v>
      </c>
      <c r="L179" s="1" t="s">
        <v>41</v>
      </c>
      <c r="AJ179" s="2">
        <v>45001</v>
      </c>
    </row>
    <row r="180" spans="1:37">
      <c r="A180" s="1" t="str">
        <f>"97182498C5"</f>
        <v>97182498C5</v>
      </c>
      <c r="B180" s="1" t="str">
        <f t="shared" si="2"/>
        <v>02406911202</v>
      </c>
      <c r="C180" s="1" t="s">
        <v>13</v>
      </c>
      <c r="D180" s="1" t="s">
        <v>47</v>
      </c>
      <c r="E180" s="1" t="s">
        <v>545</v>
      </c>
      <c r="F180" s="1" t="s">
        <v>431</v>
      </c>
      <c r="M180" s="1" t="s">
        <v>124</v>
      </c>
      <c r="AJ180" s="2">
        <v>45001</v>
      </c>
      <c r="AK180" s="1" t="s">
        <v>546</v>
      </c>
    </row>
    <row r="181" spans="1:37">
      <c r="A181" s="1" t="str">
        <f>"97375039AC"</f>
        <v>97375039AC</v>
      </c>
      <c r="B181" s="1" t="str">
        <f t="shared" si="2"/>
        <v>02406911202</v>
      </c>
      <c r="C181" s="1" t="s">
        <v>13</v>
      </c>
      <c r="D181" s="1" t="s">
        <v>47</v>
      </c>
      <c r="E181" s="1" t="s">
        <v>549</v>
      </c>
      <c r="F181" s="1" t="s">
        <v>99</v>
      </c>
      <c r="G181" s="1" t="str">
        <f>"06814140965"</f>
        <v>06814140965</v>
      </c>
      <c r="I181" s="1" t="s">
        <v>550</v>
      </c>
      <c r="L181" s="1" t="s">
        <v>44</v>
      </c>
      <c r="M181" s="1" t="s">
        <v>551</v>
      </c>
      <c r="O181" s="1" t="s">
        <v>551</v>
      </c>
      <c r="AJ181" s="2">
        <v>45012</v>
      </c>
    </row>
    <row r="182" spans="1:37">
      <c r="A182" s="1" t="str">
        <f>"967121396F"</f>
        <v>967121396F</v>
      </c>
      <c r="B182" s="1" t="str">
        <f t="shared" si="2"/>
        <v>02406911202</v>
      </c>
      <c r="C182" s="1" t="s">
        <v>13</v>
      </c>
      <c r="D182" s="1" t="s">
        <v>47</v>
      </c>
      <c r="E182" s="1" t="s">
        <v>552</v>
      </c>
      <c r="F182" s="1" t="s">
        <v>39</v>
      </c>
      <c r="G182" s="1" t="str">
        <f>"09301330966"</f>
        <v>09301330966</v>
      </c>
      <c r="I182" s="1" t="s">
        <v>553</v>
      </c>
      <c r="L182" s="1" t="s">
        <v>44</v>
      </c>
      <c r="M182" s="1" t="s">
        <v>554</v>
      </c>
      <c r="N182" s="1" t="s">
        <v>554</v>
      </c>
      <c r="AJ182" s="2">
        <v>44978</v>
      </c>
    </row>
    <row r="183" spans="1:37">
      <c r="A183" s="1" t="str">
        <f>"967127194C"</f>
        <v>967127194C</v>
      </c>
      <c r="B183" s="1" t="str">
        <f t="shared" si="2"/>
        <v>02406911202</v>
      </c>
      <c r="C183" s="1" t="s">
        <v>13</v>
      </c>
      <c r="D183" s="1" t="s">
        <v>47</v>
      </c>
      <c r="E183" s="1" t="s">
        <v>555</v>
      </c>
      <c r="F183" s="1" t="s">
        <v>39</v>
      </c>
      <c r="G183" s="1" t="str">
        <f>"09331210154"</f>
        <v>09331210154</v>
      </c>
      <c r="I183" s="1" t="s">
        <v>556</v>
      </c>
      <c r="L183" s="1" t="s">
        <v>44</v>
      </c>
      <c r="M183" s="1" t="s">
        <v>557</v>
      </c>
      <c r="Q183" s="1" t="s">
        <v>557</v>
      </c>
      <c r="AJ183" s="2">
        <v>44978</v>
      </c>
    </row>
    <row r="184" spans="1:37">
      <c r="A184" s="1" t="str">
        <f>"983820686B"</f>
        <v>983820686B</v>
      </c>
      <c r="B184" s="1" t="str">
        <f t="shared" si="2"/>
        <v>02406911202</v>
      </c>
      <c r="C184" s="1" t="s">
        <v>13</v>
      </c>
      <c r="D184" s="1" t="s">
        <v>47</v>
      </c>
      <c r="E184" s="1" t="s">
        <v>558</v>
      </c>
      <c r="F184" s="1" t="s">
        <v>39</v>
      </c>
      <c r="G184" s="1" t="str">
        <f>"03071411205"</f>
        <v>03071411205</v>
      </c>
      <c r="I184" s="1" t="s">
        <v>559</v>
      </c>
      <c r="L184" s="1" t="s">
        <v>44</v>
      </c>
      <c r="M184" s="1" t="s">
        <v>560</v>
      </c>
      <c r="N184" s="1" t="s">
        <v>561</v>
      </c>
      <c r="O184" s="1" t="s">
        <v>562</v>
      </c>
      <c r="AJ184" s="2">
        <v>45068</v>
      </c>
    </row>
    <row r="185" spans="1:37">
      <c r="A185" s="1" t="str">
        <f>"9838231D0B"</f>
        <v>9838231D0B</v>
      </c>
      <c r="B185" s="1" t="str">
        <f t="shared" si="2"/>
        <v>02406911202</v>
      </c>
      <c r="C185" s="1" t="s">
        <v>13</v>
      </c>
      <c r="D185" s="1" t="s">
        <v>47</v>
      </c>
      <c r="E185" s="1" t="s">
        <v>563</v>
      </c>
      <c r="F185" s="1" t="s">
        <v>39</v>
      </c>
      <c r="G185" s="1" t="str">
        <f>"03071411205"</f>
        <v>03071411205</v>
      </c>
      <c r="I185" s="1" t="s">
        <v>559</v>
      </c>
      <c r="L185" s="1" t="s">
        <v>44</v>
      </c>
      <c r="M185" s="1" t="s">
        <v>283</v>
      </c>
      <c r="Q185" s="1" t="s">
        <v>283</v>
      </c>
      <c r="AJ185" s="2">
        <v>45068</v>
      </c>
    </row>
    <row r="186" spans="1:37">
      <c r="A186" s="1" t="str">
        <f>"98382436F4"</f>
        <v>98382436F4</v>
      </c>
      <c r="B186" s="1" t="str">
        <f t="shared" si="2"/>
        <v>02406911202</v>
      </c>
      <c r="C186" s="1" t="s">
        <v>13</v>
      </c>
      <c r="D186" s="1" t="s">
        <v>47</v>
      </c>
      <c r="E186" s="1" t="s">
        <v>564</v>
      </c>
      <c r="F186" s="1" t="s">
        <v>39</v>
      </c>
      <c r="G186" s="1" t="str">
        <f>"09699320017"</f>
        <v>09699320017</v>
      </c>
      <c r="I186" s="1" t="s">
        <v>540</v>
      </c>
      <c r="L186" s="1" t="s">
        <v>44</v>
      </c>
      <c r="M186" s="1" t="s">
        <v>565</v>
      </c>
      <c r="N186" s="1" t="s">
        <v>565</v>
      </c>
      <c r="AJ186" s="2">
        <v>45068</v>
      </c>
    </row>
    <row r="187" spans="1:37">
      <c r="A187" s="1" t="str">
        <f>"9876134B97"</f>
        <v>9876134B97</v>
      </c>
      <c r="B187" s="1" t="str">
        <f t="shared" si="2"/>
        <v>02406911202</v>
      </c>
      <c r="C187" s="1" t="s">
        <v>13</v>
      </c>
      <c r="D187" s="1" t="s">
        <v>47</v>
      </c>
      <c r="E187" s="1" t="s">
        <v>566</v>
      </c>
      <c r="F187" s="1" t="s">
        <v>39</v>
      </c>
      <c r="G187" s="1" t="str">
        <f>"08230471008"</f>
        <v>08230471008</v>
      </c>
      <c r="I187" s="1" t="s">
        <v>547</v>
      </c>
      <c r="L187" s="1" t="s">
        <v>44</v>
      </c>
      <c r="M187" s="1" t="s">
        <v>567</v>
      </c>
      <c r="O187" s="1" t="s">
        <v>567</v>
      </c>
      <c r="AJ187" s="2">
        <v>45086</v>
      </c>
    </row>
    <row r="188" spans="1:37">
      <c r="A188" s="1" t="str">
        <f>"9823594E35"</f>
        <v>9823594E35</v>
      </c>
      <c r="B188" s="1" t="str">
        <f t="shared" si="2"/>
        <v>02406911202</v>
      </c>
      <c r="C188" s="1" t="s">
        <v>13</v>
      </c>
      <c r="D188" s="1" t="s">
        <v>47</v>
      </c>
      <c r="E188" s="1" t="s">
        <v>568</v>
      </c>
      <c r="F188" s="1" t="s">
        <v>39</v>
      </c>
      <c r="G188" s="1" t="str">
        <f>"01260340482"</f>
        <v>01260340482</v>
      </c>
      <c r="I188" s="1" t="s">
        <v>569</v>
      </c>
      <c r="L188" s="1" t="s">
        <v>44</v>
      </c>
      <c r="M188" s="1" t="s">
        <v>570</v>
      </c>
      <c r="N188" s="1" t="s">
        <v>571</v>
      </c>
      <c r="S188" s="1" t="s">
        <v>572</v>
      </c>
      <c r="AJ188" s="2">
        <v>45061</v>
      </c>
    </row>
    <row r="189" spans="1:37">
      <c r="A189" s="1" t="str">
        <f>"9782411CEC"</f>
        <v>9782411CEC</v>
      </c>
      <c r="B189" s="1" t="str">
        <f t="shared" si="2"/>
        <v>02406911202</v>
      </c>
      <c r="C189" s="1" t="s">
        <v>13</v>
      </c>
      <c r="D189" s="1" t="s">
        <v>47</v>
      </c>
      <c r="E189" s="1" t="s">
        <v>573</v>
      </c>
      <c r="F189" s="1" t="s">
        <v>39</v>
      </c>
      <c r="G189" s="1" t="str">
        <f>"02368591208"</f>
        <v>02368591208</v>
      </c>
      <c r="I189" s="1" t="s">
        <v>444</v>
      </c>
      <c r="L189" s="1" t="s">
        <v>44</v>
      </c>
      <c r="M189" s="1" t="s">
        <v>574</v>
      </c>
      <c r="O189" s="1" t="s">
        <v>574</v>
      </c>
      <c r="AJ189" s="2">
        <v>45035</v>
      </c>
    </row>
    <row r="190" spans="1:37">
      <c r="A190" s="1" t="str">
        <f>"99131530A6"</f>
        <v>99131530A6</v>
      </c>
      <c r="B190" s="1" t="str">
        <f t="shared" si="2"/>
        <v>02406911202</v>
      </c>
      <c r="C190" s="1" t="s">
        <v>13</v>
      </c>
      <c r="D190" s="1" t="s">
        <v>47</v>
      </c>
      <c r="E190" s="1" t="s">
        <v>575</v>
      </c>
      <c r="F190" s="1" t="s">
        <v>39</v>
      </c>
      <c r="G190" s="1" t="str">
        <f>"04836380156"</f>
        <v>04836380156</v>
      </c>
      <c r="I190" s="1" t="s">
        <v>300</v>
      </c>
      <c r="L190" s="1" t="s">
        <v>44</v>
      </c>
      <c r="M190" s="1" t="s">
        <v>576</v>
      </c>
      <c r="N190" s="1" t="s">
        <v>577</v>
      </c>
      <c r="Q190" s="1" t="s">
        <v>578</v>
      </c>
      <c r="S190" s="1" t="s">
        <v>579</v>
      </c>
      <c r="AJ190" s="2">
        <v>45099</v>
      </c>
    </row>
    <row r="191" spans="1:37">
      <c r="A191" s="1" t="str">
        <f>"9782466A50"</f>
        <v>9782466A50</v>
      </c>
      <c r="B191" s="1" t="str">
        <f t="shared" si="2"/>
        <v>02406911202</v>
      </c>
      <c r="C191" s="1" t="s">
        <v>13</v>
      </c>
      <c r="D191" s="1" t="s">
        <v>47</v>
      </c>
      <c r="E191" s="1" t="s">
        <v>580</v>
      </c>
      <c r="F191" s="1" t="s">
        <v>39</v>
      </c>
      <c r="G191" s="1" t="str">
        <f>"02368591208"</f>
        <v>02368591208</v>
      </c>
      <c r="I191" s="1" t="s">
        <v>444</v>
      </c>
      <c r="L191" s="1" t="s">
        <v>44</v>
      </c>
      <c r="M191" s="1" t="s">
        <v>581</v>
      </c>
      <c r="O191" s="1" t="s">
        <v>581</v>
      </c>
      <c r="AJ191" s="2">
        <v>45035</v>
      </c>
    </row>
    <row r="192" spans="1:37">
      <c r="A192" s="1" t="str">
        <f>"97825038D9"</f>
        <v>97825038D9</v>
      </c>
      <c r="B192" s="1" t="str">
        <f t="shared" si="2"/>
        <v>02406911202</v>
      </c>
      <c r="C192" s="1" t="s">
        <v>13</v>
      </c>
      <c r="D192" s="1" t="s">
        <v>47</v>
      </c>
      <c r="E192" s="1" t="s">
        <v>580</v>
      </c>
      <c r="F192" s="1" t="s">
        <v>39</v>
      </c>
      <c r="G192" s="1" t="str">
        <f>"02368591208"</f>
        <v>02368591208</v>
      </c>
      <c r="I192" s="1" t="s">
        <v>444</v>
      </c>
      <c r="L192" s="1" t="s">
        <v>44</v>
      </c>
      <c r="M192" s="1" t="s">
        <v>582</v>
      </c>
      <c r="O192" s="1" t="s">
        <v>582</v>
      </c>
      <c r="AJ192" s="2">
        <v>45035</v>
      </c>
    </row>
    <row r="193" spans="1:36">
      <c r="A193" s="1" t="str">
        <f>"9782511F71"</f>
        <v>9782511F71</v>
      </c>
      <c r="B193" s="1" t="str">
        <f t="shared" si="2"/>
        <v>02406911202</v>
      </c>
      <c r="C193" s="1" t="s">
        <v>13</v>
      </c>
      <c r="D193" s="1" t="s">
        <v>47</v>
      </c>
      <c r="E193" s="1" t="s">
        <v>580</v>
      </c>
      <c r="F193" s="1" t="s">
        <v>39</v>
      </c>
      <c r="G193" s="1" t="str">
        <f>"02368591208"</f>
        <v>02368591208</v>
      </c>
      <c r="I193" s="1" t="s">
        <v>444</v>
      </c>
      <c r="L193" s="1" t="s">
        <v>44</v>
      </c>
      <c r="M193" s="1" t="s">
        <v>583</v>
      </c>
      <c r="O193" s="1" t="s">
        <v>583</v>
      </c>
      <c r="AJ193" s="2">
        <v>45035</v>
      </c>
    </row>
    <row r="194" spans="1:36">
      <c r="A194" s="1" t="str">
        <f>"9782540762"</f>
        <v>9782540762</v>
      </c>
      <c r="B194" s="1" t="str">
        <f t="shared" ref="B194:B257" si="3">"02406911202"</f>
        <v>02406911202</v>
      </c>
      <c r="C194" s="1" t="s">
        <v>13</v>
      </c>
      <c r="D194" s="1" t="s">
        <v>47</v>
      </c>
      <c r="E194" s="1" t="s">
        <v>580</v>
      </c>
      <c r="F194" s="1" t="s">
        <v>39</v>
      </c>
      <c r="G194" s="1" t="str">
        <f>"09506040014"</f>
        <v>09506040014</v>
      </c>
      <c r="I194" s="1" t="s">
        <v>584</v>
      </c>
      <c r="L194" s="1" t="s">
        <v>44</v>
      </c>
      <c r="M194" s="1" t="s">
        <v>585</v>
      </c>
      <c r="O194" s="1" t="s">
        <v>585</v>
      </c>
      <c r="AJ194" s="2">
        <v>45035</v>
      </c>
    </row>
    <row r="195" spans="1:36">
      <c r="A195" s="1" t="str">
        <f>"978255321E"</f>
        <v>978255321E</v>
      </c>
      <c r="B195" s="1" t="str">
        <f t="shared" si="3"/>
        <v>02406911202</v>
      </c>
      <c r="C195" s="1" t="s">
        <v>13</v>
      </c>
      <c r="D195" s="1" t="s">
        <v>47</v>
      </c>
      <c r="E195" s="1" t="s">
        <v>580</v>
      </c>
      <c r="F195" s="1" t="s">
        <v>39</v>
      </c>
      <c r="G195" s="1" t="str">
        <f>"02368591208"</f>
        <v>02368591208</v>
      </c>
      <c r="I195" s="1" t="s">
        <v>444</v>
      </c>
      <c r="L195" s="1" t="s">
        <v>44</v>
      </c>
      <c r="M195" s="1" t="s">
        <v>586</v>
      </c>
      <c r="O195" s="1" t="s">
        <v>586</v>
      </c>
      <c r="AJ195" s="2">
        <v>45035</v>
      </c>
    </row>
    <row r="196" spans="1:36">
      <c r="A196" s="1" t="str">
        <f>"98892589DC"</f>
        <v>98892589DC</v>
      </c>
      <c r="B196" s="1" t="str">
        <f t="shared" si="3"/>
        <v>02406911202</v>
      </c>
      <c r="C196" s="1" t="s">
        <v>13</v>
      </c>
      <c r="D196" s="1" t="s">
        <v>47</v>
      </c>
      <c r="E196" s="1" t="s">
        <v>587</v>
      </c>
      <c r="F196" s="1" t="s">
        <v>39</v>
      </c>
      <c r="G196" s="1" t="str">
        <f>"11189050153"</f>
        <v>11189050153</v>
      </c>
      <c r="I196" s="1" t="s">
        <v>588</v>
      </c>
      <c r="L196" s="1" t="s">
        <v>44</v>
      </c>
      <c r="M196" s="1" t="s">
        <v>589</v>
      </c>
      <c r="N196" s="1" t="s">
        <v>590</v>
      </c>
      <c r="Q196" s="1" t="s">
        <v>591</v>
      </c>
      <c r="S196" s="1" t="s">
        <v>592</v>
      </c>
      <c r="AJ196" s="2">
        <v>45092</v>
      </c>
    </row>
    <row r="197" spans="1:36">
      <c r="A197" s="1" t="str">
        <f>"98892589DC"</f>
        <v>98892589DC</v>
      </c>
      <c r="B197" s="1" t="str">
        <f t="shared" si="3"/>
        <v>02406911202</v>
      </c>
      <c r="C197" s="1" t="s">
        <v>13</v>
      </c>
      <c r="D197" s="1" t="s">
        <v>47</v>
      </c>
      <c r="E197" s="1" t="s">
        <v>587</v>
      </c>
      <c r="F197" s="1" t="s">
        <v>39</v>
      </c>
      <c r="G197" s="1" t="str">
        <f>"03524050238"</f>
        <v>03524050238</v>
      </c>
      <c r="I197" s="1" t="s">
        <v>593</v>
      </c>
      <c r="L197" s="1" t="s">
        <v>44</v>
      </c>
      <c r="M197" s="1" t="s">
        <v>589</v>
      </c>
      <c r="N197" s="1" t="s">
        <v>590</v>
      </c>
      <c r="Q197" s="1" t="s">
        <v>591</v>
      </c>
      <c r="S197" s="1" t="s">
        <v>592</v>
      </c>
      <c r="AJ197" s="2">
        <v>45092</v>
      </c>
    </row>
    <row r="198" spans="1:36">
      <c r="A198" s="1" t="str">
        <f>"96499785C3"</f>
        <v>96499785C3</v>
      </c>
      <c r="B198" s="1" t="str">
        <f t="shared" si="3"/>
        <v>02406911202</v>
      </c>
      <c r="C198" s="1" t="s">
        <v>13</v>
      </c>
      <c r="D198" s="1" t="s">
        <v>47</v>
      </c>
      <c r="E198" s="1" t="s">
        <v>594</v>
      </c>
      <c r="F198" s="1" t="s">
        <v>39</v>
      </c>
      <c r="G198" s="1" t="str">
        <f>"02606120349"</f>
        <v>02606120349</v>
      </c>
      <c r="I198" s="1" t="s">
        <v>595</v>
      </c>
      <c r="L198" s="1" t="s">
        <v>44</v>
      </c>
      <c r="M198" s="1" t="s">
        <v>596</v>
      </c>
      <c r="N198" s="1" t="s">
        <v>597</v>
      </c>
      <c r="Q198" s="1" t="s">
        <v>598</v>
      </c>
      <c r="AJ198" s="2">
        <v>44966</v>
      </c>
    </row>
    <row r="199" spans="1:36">
      <c r="A199" s="1" t="str">
        <f>"9645425881"</f>
        <v>9645425881</v>
      </c>
      <c r="B199" s="1" t="str">
        <f t="shared" si="3"/>
        <v>02406911202</v>
      </c>
      <c r="C199" s="1" t="s">
        <v>13</v>
      </c>
      <c r="D199" s="1" t="s">
        <v>47</v>
      </c>
      <c r="E199" s="1" t="s">
        <v>599</v>
      </c>
      <c r="F199" s="1" t="s">
        <v>39</v>
      </c>
      <c r="G199" s="1" t="str">
        <f>"01171880428"</f>
        <v>01171880428</v>
      </c>
      <c r="I199" s="1" t="s">
        <v>600</v>
      </c>
      <c r="L199" s="1" t="s">
        <v>44</v>
      </c>
      <c r="M199" s="1" t="s">
        <v>601</v>
      </c>
      <c r="Q199" s="1" t="s">
        <v>601</v>
      </c>
      <c r="AJ199" s="2">
        <v>44964</v>
      </c>
    </row>
    <row r="200" spans="1:36">
      <c r="A200" s="1" t="str">
        <f>"97320093E3"</f>
        <v>97320093E3</v>
      </c>
      <c r="B200" s="1" t="str">
        <f t="shared" si="3"/>
        <v>02406911202</v>
      </c>
      <c r="C200" s="1" t="s">
        <v>13</v>
      </c>
      <c r="D200" s="1" t="s">
        <v>47</v>
      </c>
      <c r="E200" s="1" t="s">
        <v>602</v>
      </c>
      <c r="F200" s="1" t="s">
        <v>39</v>
      </c>
      <c r="G200" s="1" t="str">
        <f>"05908740961"</f>
        <v>05908740961</v>
      </c>
      <c r="I200" s="1" t="s">
        <v>603</v>
      </c>
      <c r="L200" s="1" t="s">
        <v>44</v>
      </c>
      <c r="M200" s="1" t="s">
        <v>604</v>
      </c>
      <c r="Q200" s="1" t="s">
        <v>604</v>
      </c>
      <c r="AJ200" s="2">
        <v>45008</v>
      </c>
    </row>
    <row r="201" spans="1:36">
      <c r="A201" s="1" t="str">
        <f>"9698082670"</f>
        <v>9698082670</v>
      </c>
      <c r="B201" s="1" t="str">
        <f t="shared" si="3"/>
        <v>02406911202</v>
      </c>
      <c r="C201" s="1" t="s">
        <v>13</v>
      </c>
      <c r="D201" s="1" t="s">
        <v>47</v>
      </c>
      <c r="E201" s="1" t="s">
        <v>605</v>
      </c>
      <c r="F201" s="1" t="s">
        <v>99</v>
      </c>
      <c r="G201" s="1" t="str">
        <f>"03075411201"</f>
        <v>03075411201</v>
      </c>
      <c r="I201" s="1" t="s">
        <v>606</v>
      </c>
      <c r="L201" s="1" t="s">
        <v>44</v>
      </c>
      <c r="M201" s="1" t="s">
        <v>607</v>
      </c>
      <c r="O201" s="1" t="s">
        <v>607</v>
      </c>
      <c r="AJ201" s="2">
        <v>45013</v>
      </c>
    </row>
    <row r="202" spans="1:36">
      <c r="A202" s="1" t="str">
        <f>"9782351B69"</f>
        <v>9782351B69</v>
      </c>
      <c r="B202" s="1" t="str">
        <f t="shared" si="3"/>
        <v>02406911202</v>
      </c>
      <c r="C202" s="1" t="s">
        <v>13</v>
      </c>
      <c r="D202" s="1" t="s">
        <v>47</v>
      </c>
      <c r="E202" s="1" t="s">
        <v>608</v>
      </c>
      <c r="F202" s="1" t="s">
        <v>39</v>
      </c>
      <c r="G202" s="1" t="str">
        <f>"04836380156"</f>
        <v>04836380156</v>
      </c>
      <c r="I202" s="1" t="s">
        <v>300</v>
      </c>
      <c r="L202" s="1" t="s">
        <v>44</v>
      </c>
      <c r="M202" s="1" t="s">
        <v>609</v>
      </c>
      <c r="O202" s="1" t="s">
        <v>609</v>
      </c>
      <c r="AJ202" s="2">
        <v>45036</v>
      </c>
    </row>
    <row r="203" spans="1:36">
      <c r="A203" s="1" t="str">
        <f>"98827531C6"</f>
        <v>98827531C6</v>
      </c>
      <c r="B203" s="1" t="str">
        <f t="shared" si="3"/>
        <v>02406911202</v>
      </c>
      <c r="C203" s="1" t="s">
        <v>13</v>
      </c>
      <c r="D203" s="1" t="s">
        <v>47</v>
      </c>
      <c r="E203" s="1" t="s">
        <v>610</v>
      </c>
      <c r="F203" s="1" t="s">
        <v>39</v>
      </c>
      <c r="G203" s="1" t="str">
        <f>"02368591208"</f>
        <v>02368591208</v>
      </c>
      <c r="I203" s="1" t="s">
        <v>444</v>
      </c>
      <c r="L203" s="1" t="s">
        <v>44</v>
      </c>
      <c r="M203" s="1" t="s">
        <v>611</v>
      </c>
      <c r="O203" s="1" t="s">
        <v>611</v>
      </c>
      <c r="AJ203" s="2">
        <v>45090</v>
      </c>
    </row>
    <row r="204" spans="1:36">
      <c r="A204" s="1" t="str">
        <f>"9880563287"</f>
        <v>9880563287</v>
      </c>
      <c r="B204" s="1" t="str">
        <f t="shared" si="3"/>
        <v>02406911202</v>
      </c>
      <c r="C204" s="1" t="s">
        <v>13</v>
      </c>
      <c r="D204" s="1" t="s">
        <v>47</v>
      </c>
      <c r="E204" s="1" t="s">
        <v>612</v>
      </c>
      <c r="F204" s="1" t="s">
        <v>39</v>
      </c>
      <c r="G204" s="1" t="str">
        <f>"13144290155"</f>
        <v>13144290155</v>
      </c>
      <c r="I204" s="1" t="s">
        <v>130</v>
      </c>
      <c r="L204" s="1" t="s">
        <v>44</v>
      </c>
      <c r="M204" s="1" t="s">
        <v>613</v>
      </c>
      <c r="N204" s="1" t="s">
        <v>614</v>
      </c>
      <c r="O204" s="1" t="s">
        <v>615</v>
      </c>
      <c r="Q204" s="1" t="s">
        <v>616</v>
      </c>
      <c r="AJ204" s="2">
        <v>45091</v>
      </c>
    </row>
    <row r="205" spans="1:36">
      <c r="A205" s="1" t="str">
        <f>"9880600110"</f>
        <v>9880600110</v>
      </c>
      <c r="B205" s="1" t="str">
        <f t="shared" si="3"/>
        <v>02406911202</v>
      </c>
      <c r="C205" s="1" t="s">
        <v>13</v>
      </c>
      <c r="D205" s="1" t="s">
        <v>47</v>
      </c>
      <c r="E205" s="1" t="s">
        <v>617</v>
      </c>
      <c r="F205" s="1" t="s">
        <v>39</v>
      </c>
      <c r="G205" s="1" t="str">
        <f>"01489790996"</f>
        <v>01489790996</v>
      </c>
      <c r="I205" s="1" t="s">
        <v>384</v>
      </c>
      <c r="L205" s="1" t="s">
        <v>44</v>
      </c>
      <c r="M205" s="1" t="s">
        <v>618</v>
      </c>
      <c r="AJ205" s="2">
        <v>45091</v>
      </c>
    </row>
    <row r="206" spans="1:36">
      <c r="A206" s="1" t="str">
        <f>"9606886D1C"</f>
        <v>9606886D1C</v>
      </c>
      <c r="B206" s="1" t="str">
        <f t="shared" si="3"/>
        <v>02406911202</v>
      </c>
      <c r="C206" s="1" t="s">
        <v>13</v>
      </c>
      <c r="D206" s="1" t="s">
        <v>47</v>
      </c>
      <c r="E206" s="1" t="s">
        <v>619</v>
      </c>
      <c r="F206" s="1" t="s">
        <v>431</v>
      </c>
      <c r="G206" s="1" t="str">
        <f>"03277950287"</f>
        <v>03277950287</v>
      </c>
      <c r="I206" s="1" t="s">
        <v>620</v>
      </c>
      <c r="L206" s="1" t="s">
        <v>44</v>
      </c>
      <c r="M206" s="1" t="s">
        <v>621</v>
      </c>
      <c r="N206" s="1" t="s">
        <v>622</v>
      </c>
      <c r="O206" s="1" t="s">
        <v>623</v>
      </c>
      <c r="Q206" s="1" t="s">
        <v>624</v>
      </c>
      <c r="S206" s="1" t="s">
        <v>625</v>
      </c>
      <c r="AJ206" s="2">
        <v>44971</v>
      </c>
    </row>
    <row r="207" spans="1:36">
      <c r="A207" s="1" t="str">
        <f>"9885814FC6"</f>
        <v>9885814FC6</v>
      </c>
      <c r="B207" s="1" t="str">
        <f t="shared" si="3"/>
        <v>02406911202</v>
      </c>
      <c r="C207" s="1" t="s">
        <v>13</v>
      </c>
      <c r="D207" s="1" t="s">
        <v>47</v>
      </c>
      <c r="E207" s="1" t="s">
        <v>626</v>
      </c>
      <c r="F207" s="1" t="s">
        <v>39</v>
      </c>
      <c r="G207" s="1" t="str">
        <f>"13110270157"</f>
        <v>13110270157</v>
      </c>
      <c r="I207" s="1" t="s">
        <v>491</v>
      </c>
      <c r="L207" s="1" t="s">
        <v>44</v>
      </c>
      <c r="M207" s="1" t="s">
        <v>627</v>
      </c>
      <c r="O207" s="1" t="s">
        <v>627</v>
      </c>
      <c r="AJ207" s="2">
        <v>45092</v>
      </c>
    </row>
    <row r="208" spans="1:36">
      <c r="A208" s="1" t="str">
        <f>"99019958C4"</f>
        <v>99019958C4</v>
      </c>
      <c r="B208" s="1" t="str">
        <f t="shared" si="3"/>
        <v>02406911202</v>
      </c>
      <c r="C208" s="1" t="s">
        <v>13</v>
      </c>
      <c r="D208" s="1" t="s">
        <v>47</v>
      </c>
      <c r="E208" s="1" t="s">
        <v>628</v>
      </c>
      <c r="F208" s="1" t="s">
        <v>39</v>
      </c>
      <c r="G208" s="1" t="str">
        <f>"09238800156"</f>
        <v>09238800156</v>
      </c>
      <c r="I208" s="1" t="s">
        <v>88</v>
      </c>
      <c r="L208" s="1" t="s">
        <v>44</v>
      </c>
      <c r="M208" s="1" t="s">
        <v>629</v>
      </c>
      <c r="P208" s="1" t="s">
        <v>629</v>
      </c>
      <c r="AJ208" s="2">
        <v>45098</v>
      </c>
    </row>
    <row r="209" spans="1:36">
      <c r="A209" s="1" t="str">
        <f>"9932128B4D"</f>
        <v>9932128B4D</v>
      </c>
      <c r="B209" s="1" t="str">
        <f t="shared" si="3"/>
        <v>02406911202</v>
      </c>
      <c r="C209" s="1" t="s">
        <v>13</v>
      </c>
      <c r="D209" s="1" t="s">
        <v>47</v>
      </c>
      <c r="E209" s="1" t="s">
        <v>630</v>
      </c>
      <c r="F209" s="1" t="s">
        <v>39</v>
      </c>
      <c r="G209" s="1" t="str">
        <f>"06068041000"</f>
        <v>06068041000</v>
      </c>
      <c r="I209" s="1" t="s">
        <v>631</v>
      </c>
      <c r="L209" s="1" t="s">
        <v>44</v>
      </c>
      <c r="M209" s="1" t="s">
        <v>632</v>
      </c>
      <c r="O209" s="1" t="s">
        <v>632</v>
      </c>
      <c r="AJ209" s="2">
        <v>45105</v>
      </c>
    </row>
    <row r="210" spans="1:36">
      <c r="A210" s="1" t="str">
        <f>"9932167B7C"</f>
        <v>9932167B7C</v>
      </c>
      <c r="B210" s="1" t="str">
        <f t="shared" si="3"/>
        <v>02406911202</v>
      </c>
      <c r="C210" s="1" t="s">
        <v>13</v>
      </c>
      <c r="D210" s="1" t="s">
        <v>47</v>
      </c>
      <c r="E210" s="1" t="s">
        <v>633</v>
      </c>
      <c r="F210" s="1" t="s">
        <v>39</v>
      </c>
      <c r="G210" s="1" t="str">
        <f>"02173550282"</f>
        <v>02173550282</v>
      </c>
      <c r="I210" s="1" t="s">
        <v>634</v>
      </c>
      <c r="L210" s="1" t="s">
        <v>44</v>
      </c>
      <c r="M210" s="1" t="s">
        <v>635</v>
      </c>
      <c r="O210" s="1" t="s">
        <v>635</v>
      </c>
      <c r="AJ210" s="2">
        <v>45105</v>
      </c>
    </row>
    <row r="211" spans="1:36">
      <c r="A211" s="1" t="str">
        <f>"98354061CB"</f>
        <v>98354061CB</v>
      </c>
      <c r="B211" s="1" t="str">
        <f t="shared" si="3"/>
        <v>02406911202</v>
      </c>
      <c r="C211" s="1" t="s">
        <v>13</v>
      </c>
      <c r="D211" s="1" t="s">
        <v>47</v>
      </c>
      <c r="E211" s="1" t="s">
        <v>636</v>
      </c>
      <c r="F211" s="1" t="s">
        <v>39</v>
      </c>
      <c r="G211" s="1" t="str">
        <f>"03893361000"</f>
        <v>03893361000</v>
      </c>
      <c r="I211" s="1" t="s">
        <v>637</v>
      </c>
      <c r="L211" s="1" t="s">
        <v>44</v>
      </c>
      <c r="M211" s="1" t="s">
        <v>638</v>
      </c>
      <c r="O211" s="1" t="s">
        <v>638</v>
      </c>
      <c r="AJ211" s="2">
        <v>45069</v>
      </c>
    </row>
    <row r="212" spans="1:36">
      <c r="A212" s="1" t="str">
        <f>"969747625B"</f>
        <v>969747625B</v>
      </c>
      <c r="B212" s="1" t="str">
        <f t="shared" si="3"/>
        <v>02406911202</v>
      </c>
      <c r="C212" s="1" t="s">
        <v>13</v>
      </c>
      <c r="D212" s="1" t="s">
        <v>47</v>
      </c>
      <c r="E212" s="1" t="s">
        <v>639</v>
      </c>
      <c r="F212" s="1" t="s">
        <v>431</v>
      </c>
      <c r="G212" s="1" t="str">
        <f>"09238800156"</f>
        <v>09238800156</v>
      </c>
      <c r="I212" s="1" t="s">
        <v>88</v>
      </c>
      <c r="L212" s="1" t="s">
        <v>44</v>
      </c>
      <c r="M212" s="1" t="s">
        <v>640</v>
      </c>
      <c r="O212" s="1" t="s">
        <v>640</v>
      </c>
      <c r="AJ212" s="2">
        <v>45000</v>
      </c>
    </row>
    <row r="213" spans="1:36">
      <c r="A213" s="1" t="str">
        <f>"969747625B"</f>
        <v>969747625B</v>
      </c>
      <c r="B213" s="1" t="str">
        <f t="shared" si="3"/>
        <v>02406911202</v>
      </c>
      <c r="C213" s="1" t="s">
        <v>13</v>
      </c>
      <c r="D213" s="1" t="s">
        <v>47</v>
      </c>
      <c r="E213" s="1" t="s">
        <v>639</v>
      </c>
      <c r="F213" s="1" t="s">
        <v>431</v>
      </c>
      <c r="G213" s="1" t="str">
        <f>"11206730159"</f>
        <v>11206730159</v>
      </c>
      <c r="I213" s="1" t="s">
        <v>192</v>
      </c>
      <c r="L213" s="1" t="s">
        <v>44</v>
      </c>
      <c r="M213" s="1" t="s">
        <v>640</v>
      </c>
      <c r="O213" s="1" t="s">
        <v>640</v>
      </c>
      <c r="AJ213" s="2">
        <v>45000</v>
      </c>
    </row>
    <row r="214" spans="1:36">
      <c r="A214" s="1" t="str">
        <f>"980183494B"</f>
        <v>980183494B</v>
      </c>
      <c r="B214" s="1" t="str">
        <f t="shared" si="3"/>
        <v>02406911202</v>
      </c>
      <c r="C214" s="1" t="s">
        <v>13</v>
      </c>
      <c r="D214" s="1" t="s">
        <v>47</v>
      </c>
      <c r="E214" s="1" t="s">
        <v>641</v>
      </c>
      <c r="F214" s="1" t="s">
        <v>39</v>
      </c>
      <c r="G214" s="1" t="str">
        <f>"09291850155"</f>
        <v>09291850155</v>
      </c>
      <c r="I214" s="1" t="s">
        <v>642</v>
      </c>
      <c r="L214" s="1" t="s">
        <v>44</v>
      </c>
      <c r="M214" s="1" t="s">
        <v>643</v>
      </c>
      <c r="N214" s="1" t="s">
        <v>644</v>
      </c>
      <c r="O214" s="1" t="s">
        <v>645</v>
      </c>
      <c r="Q214" s="1" t="s">
        <v>646</v>
      </c>
      <c r="AJ214" s="2">
        <v>45053</v>
      </c>
    </row>
    <row r="215" spans="1:36">
      <c r="A215" s="1" t="str">
        <f>"9788841722"</f>
        <v>9788841722</v>
      </c>
      <c r="B215" s="1" t="str">
        <f t="shared" si="3"/>
        <v>02406911202</v>
      </c>
      <c r="C215" s="1" t="s">
        <v>13</v>
      </c>
      <c r="D215" s="1" t="s">
        <v>47</v>
      </c>
      <c r="E215" s="1" t="s">
        <v>647</v>
      </c>
      <c r="F215" s="1" t="s">
        <v>39</v>
      </c>
      <c r="G215" s="1" t="str">
        <f>"02006400960"</f>
        <v>02006400960</v>
      </c>
      <c r="I215" s="1" t="s">
        <v>648</v>
      </c>
      <c r="L215" s="1" t="s">
        <v>44</v>
      </c>
      <c r="M215" s="1" t="s">
        <v>649</v>
      </c>
      <c r="N215" s="1" t="s">
        <v>650</v>
      </c>
      <c r="Q215" s="1" t="s">
        <v>651</v>
      </c>
      <c r="R215" s="1" t="s">
        <v>652</v>
      </c>
      <c r="AJ215" s="2">
        <v>45042</v>
      </c>
    </row>
    <row r="216" spans="1:36">
      <c r="A216" s="1" t="str">
        <f>"97132023DC"</f>
        <v>97132023DC</v>
      </c>
      <c r="B216" s="1" t="str">
        <f t="shared" si="3"/>
        <v>02406911202</v>
      </c>
      <c r="C216" s="1" t="s">
        <v>13</v>
      </c>
      <c r="D216" s="1" t="s">
        <v>47</v>
      </c>
      <c r="E216" s="1" t="s">
        <v>653</v>
      </c>
      <c r="F216" s="1" t="s">
        <v>39</v>
      </c>
      <c r="G216" s="1" t="str">
        <f>"03544600137"</f>
        <v>03544600137</v>
      </c>
      <c r="I216" s="1" t="s">
        <v>152</v>
      </c>
      <c r="L216" s="1" t="s">
        <v>44</v>
      </c>
      <c r="M216" s="1" t="s">
        <v>654</v>
      </c>
      <c r="N216" s="1" t="s">
        <v>655</v>
      </c>
      <c r="O216" s="1" t="s">
        <v>656</v>
      </c>
      <c r="AH216" s="2">
        <v>45000</v>
      </c>
      <c r="AI216" s="2">
        <v>45372</v>
      </c>
      <c r="AJ216" s="2">
        <v>45000</v>
      </c>
    </row>
    <row r="217" spans="1:36">
      <c r="A217" s="1" t="str">
        <f>"96037300B6"</f>
        <v>96037300B6</v>
      </c>
      <c r="B217" s="1" t="str">
        <f t="shared" si="3"/>
        <v>02406911202</v>
      </c>
      <c r="C217" s="1" t="s">
        <v>13</v>
      </c>
      <c r="D217" s="1" t="s">
        <v>47</v>
      </c>
      <c r="E217" s="1" t="s">
        <v>657</v>
      </c>
      <c r="F217" s="1" t="s">
        <v>39</v>
      </c>
      <c r="G217" s="1" t="str">
        <f>"00204260285"</f>
        <v>00204260285</v>
      </c>
      <c r="I217" s="1" t="s">
        <v>658</v>
      </c>
      <c r="L217" s="1" t="s">
        <v>44</v>
      </c>
      <c r="M217" s="1" t="s">
        <v>659</v>
      </c>
      <c r="O217" s="1" t="s">
        <v>659</v>
      </c>
      <c r="AJ217" s="2">
        <v>44943</v>
      </c>
    </row>
    <row r="218" spans="1:36">
      <c r="A218" s="1" t="str">
        <f>"960375120A"</f>
        <v>960375120A</v>
      </c>
      <c r="B218" s="1" t="str">
        <f t="shared" si="3"/>
        <v>02406911202</v>
      </c>
      <c r="C218" s="1" t="s">
        <v>13</v>
      </c>
      <c r="D218" s="1" t="s">
        <v>47</v>
      </c>
      <c r="E218" s="1" t="s">
        <v>660</v>
      </c>
      <c r="F218" s="1" t="s">
        <v>39</v>
      </c>
      <c r="G218" s="1" t="str">
        <f>"00457930428"</f>
        <v>00457930428</v>
      </c>
      <c r="I218" s="1" t="s">
        <v>661</v>
      </c>
      <c r="L218" s="1" t="s">
        <v>44</v>
      </c>
      <c r="M218" s="1" t="s">
        <v>662</v>
      </c>
      <c r="O218" s="1" t="s">
        <v>662</v>
      </c>
      <c r="AJ218" s="2">
        <v>44943</v>
      </c>
    </row>
    <row r="219" spans="1:36">
      <c r="A219" s="1" t="str">
        <f>"970785468C"</f>
        <v>970785468C</v>
      </c>
      <c r="B219" s="1" t="str">
        <f t="shared" si="3"/>
        <v>02406911202</v>
      </c>
      <c r="C219" s="1" t="s">
        <v>13</v>
      </c>
      <c r="D219" s="1" t="s">
        <v>37</v>
      </c>
      <c r="E219" s="1" t="s">
        <v>663</v>
      </c>
      <c r="F219" s="1" t="s">
        <v>431</v>
      </c>
      <c r="G219" s="1" t="str">
        <f>"00967720285"</f>
        <v>00967720285</v>
      </c>
      <c r="I219" s="1" t="s">
        <v>664</v>
      </c>
      <c r="L219" s="1" t="s">
        <v>44</v>
      </c>
      <c r="M219" s="1" t="s">
        <v>665</v>
      </c>
      <c r="O219" s="1" t="s">
        <v>665</v>
      </c>
      <c r="AH219" s="2">
        <v>45141</v>
      </c>
      <c r="AI219" s="2">
        <v>45291</v>
      </c>
      <c r="AJ219" s="2">
        <v>44998</v>
      </c>
    </row>
    <row r="220" spans="1:36">
      <c r="A220" s="1" t="str">
        <f>"98621106A0"</f>
        <v>98621106A0</v>
      </c>
      <c r="B220" s="1" t="str">
        <f t="shared" si="3"/>
        <v>02406911202</v>
      </c>
      <c r="C220" s="1" t="s">
        <v>13</v>
      </c>
      <c r="D220" s="1" t="s">
        <v>47</v>
      </c>
      <c r="E220" s="1" t="s">
        <v>666</v>
      </c>
      <c r="F220" s="1" t="s">
        <v>39</v>
      </c>
      <c r="G220" s="1" t="str">
        <f>"00615530672"</f>
        <v>00615530672</v>
      </c>
      <c r="I220" s="1" t="s">
        <v>667</v>
      </c>
      <c r="L220" s="1" t="s">
        <v>44</v>
      </c>
      <c r="M220" s="1" t="s">
        <v>668</v>
      </c>
      <c r="N220" s="1" t="s">
        <v>669</v>
      </c>
      <c r="P220" s="1" t="s">
        <v>670</v>
      </c>
      <c r="R220" s="1" t="s">
        <v>671</v>
      </c>
      <c r="S220" s="1" t="s">
        <v>672</v>
      </c>
      <c r="AJ220" s="2">
        <v>45083</v>
      </c>
    </row>
    <row r="221" spans="1:36">
      <c r="A221" s="1" t="str">
        <f>"9862120EDE"</f>
        <v>9862120EDE</v>
      </c>
      <c r="B221" s="1" t="str">
        <f t="shared" si="3"/>
        <v>02406911202</v>
      </c>
      <c r="C221" s="1" t="s">
        <v>13</v>
      </c>
      <c r="D221" s="1" t="s">
        <v>47</v>
      </c>
      <c r="E221" s="1" t="s">
        <v>673</v>
      </c>
      <c r="F221" s="1" t="s">
        <v>39</v>
      </c>
      <c r="G221" s="1" t="str">
        <f>"01857820284"</f>
        <v>01857820284</v>
      </c>
      <c r="I221" s="1" t="s">
        <v>674</v>
      </c>
      <c r="L221" s="1" t="s">
        <v>44</v>
      </c>
      <c r="M221" s="1" t="s">
        <v>675</v>
      </c>
      <c r="N221" s="1" t="s">
        <v>676</v>
      </c>
      <c r="O221" s="1" t="s">
        <v>677</v>
      </c>
      <c r="P221" s="1" t="s">
        <v>678</v>
      </c>
      <c r="Q221" s="1" t="s">
        <v>679</v>
      </c>
      <c r="R221" s="1" t="s">
        <v>680</v>
      </c>
      <c r="S221" s="1" t="s">
        <v>681</v>
      </c>
      <c r="AJ221" s="2">
        <v>45083</v>
      </c>
    </row>
    <row r="222" spans="1:36">
      <c r="A222" s="1" t="str">
        <f>"9862136C13"</f>
        <v>9862136C13</v>
      </c>
      <c r="B222" s="1" t="str">
        <f t="shared" si="3"/>
        <v>02406911202</v>
      </c>
      <c r="C222" s="1" t="s">
        <v>13</v>
      </c>
      <c r="D222" s="1" t="s">
        <v>47</v>
      </c>
      <c r="E222" s="1" t="s">
        <v>682</v>
      </c>
      <c r="F222" s="1" t="s">
        <v>39</v>
      </c>
      <c r="G222" s="1" t="str">
        <f>"00352000293"</f>
        <v>00352000293</v>
      </c>
      <c r="I222" s="1" t="s">
        <v>683</v>
      </c>
      <c r="L222" s="1" t="s">
        <v>44</v>
      </c>
      <c r="M222" s="1" t="s">
        <v>684</v>
      </c>
      <c r="N222" s="1" t="s">
        <v>685</v>
      </c>
      <c r="R222" s="1" t="s">
        <v>685</v>
      </c>
      <c r="S222" s="1" t="s">
        <v>686</v>
      </c>
      <c r="AJ222" s="2">
        <v>45083</v>
      </c>
    </row>
    <row r="223" spans="1:36">
      <c r="A223" s="1" t="str">
        <f>"974047918E"</f>
        <v>974047918E</v>
      </c>
      <c r="B223" s="1" t="str">
        <f t="shared" si="3"/>
        <v>02406911202</v>
      </c>
      <c r="C223" s="1" t="s">
        <v>13</v>
      </c>
      <c r="D223" s="1" t="s">
        <v>37</v>
      </c>
      <c r="E223" s="1" t="s">
        <v>687</v>
      </c>
      <c r="F223" s="1" t="s">
        <v>431</v>
      </c>
      <c r="G223" s="1" t="str">
        <f>"11944100152"</f>
        <v>11944100152</v>
      </c>
      <c r="I223" s="1" t="s">
        <v>688</v>
      </c>
      <c r="L223" s="1" t="s">
        <v>44</v>
      </c>
      <c r="M223" s="1" t="s">
        <v>689</v>
      </c>
      <c r="O223" s="1" t="s">
        <v>689</v>
      </c>
      <c r="AH223" s="2">
        <v>45103</v>
      </c>
      <c r="AI223" s="2">
        <v>45291</v>
      </c>
      <c r="AJ223" s="2">
        <v>45014</v>
      </c>
    </row>
    <row r="224" spans="1:36">
      <c r="A224" s="1" t="str">
        <f>"9740482407"</f>
        <v>9740482407</v>
      </c>
      <c r="B224" s="1" t="str">
        <f t="shared" si="3"/>
        <v>02406911202</v>
      </c>
      <c r="C224" s="1" t="s">
        <v>13</v>
      </c>
      <c r="D224" s="1" t="s">
        <v>37</v>
      </c>
      <c r="E224" s="1" t="s">
        <v>690</v>
      </c>
      <c r="F224" s="1" t="s">
        <v>431</v>
      </c>
      <c r="G224" s="1" t="str">
        <f>"94294570489"</f>
        <v>94294570489</v>
      </c>
      <c r="I224" s="1" t="s">
        <v>691</v>
      </c>
      <c r="L224" s="1" t="s">
        <v>44</v>
      </c>
      <c r="M224" s="1" t="s">
        <v>692</v>
      </c>
      <c r="O224" s="1" t="s">
        <v>692</v>
      </c>
      <c r="AH224" s="2">
        <v>45103</v>
      </c>
      <c r="AI224" s="2">
        <v>45291</v>
      </c>
      <c r="AJ224" s="2">
        <v>45014</v>
      </c>
    </row>
    <row r="225" spans="1:36">
      <c r="A225" s="1" t="str">
        <f>"9833732C5A"</f>
        <v>9833732C5A</v>
      </c>
      <c r="B225" s="1" t="str">
        <f t="shared" si="3"/>
        <v>02406911202</v>
      </c>
      <c r="C225" s="1" t="s">
        <v>13</v>
      </c>
      <c r="D225" s="1" t="s">
        <v>47</v>
      </c>
      <c r="E225" s="1" t="s">
        <v>693</v>
      </c>
      <c r="F225" s="1" t="s">
        <v>39</v>
      </c>
      <c r="G225" s="1" t="str">
        <f>"10923790157"</f>
        <v>10923790157</v>
      </c>
      <c r="I225" s="1" t="s">
        <v>694</v>
      </c>
      <c r="L225" s="1" t="s">
        <v>44</v>
      </c>
      <c r="M225" s="1" t="s">
        <v>695</v>
      </c>
      <c r="O225" s="1" t="s">
        <v>695</v>
      </c>
      <c r="AJ225" s="2">
        <v>45064</v>
      </c>
    </row>
    <row r="226" spans="1:36">
      <c r="A226" s="1" t="str">
        <f>"9612812768"</f>
        <v>9612812768</v>
      </c>
      <c r="B226" s="1" t="str">
        <f t="shared" si="3"/>
        <v>02406911202</v>
      </c>
      <c r="C226" s="1" t="s">
        <v>13</v>
      </c>
      <c r="D226" s="1" t="s">
        <v>47</v>
      </c>
      <c r="E226" s="1" t="s">
        <v>696</v>
      </c>
      <c r="F226" s="1" t="s">
        <v>39</v>
      </c>
      <c r="G226" s="1" t="str">
        <f>"04029180371"</f>
        <v>04029180371</v>
      </c>
      <c r="I226" s="1" t="s">
        <v>697</v>
      </c>
      <c r="L226" s="1" t="s">
        <v>44</v>
      </c>
      <c r="M226" s="1" t="s">
        <v>698</v>
      </c>
      <c r="N226" s="1" t="s">
        <v>699</v>
      </c>
      <c r="O226" s="1" t="s">
        <v>700</v>
      </c>
      <c r="Q226" s="1" t="s">
        <v>701</v>
      </c>
      <c r="R226" s="1" t="s">
        <v>702</v>
      </c>
      <c r="S226" s="1" t="s">
        <v>703</v>
      </c>
      <c r="AJ226" s="2">
        <v>44945</v>
      </c>
    </row>
    <row r="227" spans="1:36">
      <c r="A227" s="1" t="str">
        <f>"9612812768"</f>
        <v>9612812768</v>
      </c>
      <c r="B227" s="1" t="str">
        <f t="shared" si="3"/>
        <v>02406911202</v>
      </c>
      <c r="C227" s="1" t="s">
        <v>13</v>
      </c>
      <c r="D227" s="1" t="s">
        <v>47</v>
      </c>
      <c r="E227" s="1" t="s">
        <v>696</v>
      </c>
      <c r="F227" s="1" t="s">
        <v>39</v>
      </c>
      <c r="G227" s="1" t="str">
        <f>"00691781207"</f>
        <v>00691781207</v>
      </c>
      <c r="I227" s="1" t="s">
        <v>704</v>
      </c>
      <c r="L227" s="1" t="s">
        <v>41</v>
      </c>
      <c r="AJ227" s="2">
        <v>44945</v>
      </c>
    </row>
    <row r="228" spans="1:36">
      <c r="A228" s="1" t="str">
        <f>"9613200798"</f>
        <v>9613200798</v>
      </c>
      <c r="B228" s="1" t="str">
        <f t="shared" si="3"/>
        <v>02406911202</v>
      </c>
      <c r="C228" s="1" t="s">
        <v>13</v>
      </c>
      <c r="D228" s="1" t="s">
        <v>47</v>
      </c>
      <c r="E228" s="1" t="s">
        <v>705</v>
      </c>
      <c r="F228" s="1" t="s">
        <v>39</v>
      </c>
      <c r="G228" s="1" t="str">
        <f>"93517310152"</f>
        <v>93517310152</v>
      </c>
      <c r="I228" s="1" t="s">
        <v>706</v>
      </c>
      <c r="L228" s="1" t="s">
        <v>44</v>
      </c>
      <c r="M228" s="1" t="s">
        <v>707</v>
      </c>
      <c r="N228" s="1" t="s">
        <v>708</v>
      </c>
      <c r="O228" s="1" t="s">
        <v>709</v>
      </c>
      <c r="Q228" s="1" t="s">
        <v>710</v>
      </c>
      <c r="R228" s="1" t="s">
        <v>607</v>
      </c>
      <c r="S228" s="1" t="s">
        <v>108</v>
      </c>
      <c r="AJ228" s="2">
        <v>44945</v>
      </c>
    </row>
    <row r="229" spans="1:36">
      <c r="A229" s="1" t="str">
        <f>"98531260CD"</f>
        <v>98531260CD</v>
      </c>
      <c r="B229" s="1" t="str">
        <f t="shared" si="3"/>
        <v>02406911202</v>
      </c>
      <c r="C229" s="1" t="s">
        <v>13</v>
      </c>
      <c r="D229" s="1" t="s">
        <v>47</v>
      </c>
      <c r="E229" s="1" t="s">
        <v>711</v>
      </c>
      <c r="F229" s="1" t="s">
        <v>39</v>
      </c>
      <c r="G229" s="1" t="str">
        <f>"00100190610"</f>
        <v>00100190610</v>
      </c>
      <c r="I229" s="1" t="s">
        <v>712</v>
      </c>
      <c r="L229" s="1" t="s">
        <v>44</v>
      </c>
      <c r="M229" s="1" t="s">
        <v>713</v>
      </c>
      <c r="N229" s="1" t="s">
        <v>714</v>
      </c>
      <c r="O229" s="1" t="s">
        <v>715</v>
      </c>
      <c r="P229" s="1" t="s">
        <v>716</v>
      </c>
      <c r="Q229" s="1" t="s">
        <v>717</v>
      </c>
      <c r="AJ229" s="2">
        <v>45075</v>
      </c>
    </row>
    <row r="230" spans="1:36">
      <c r="A230" s="1" t="str">
        <f>"985314614E"</f>
        <v>985314614E</v>
      </c>
      <c r="B230" s="1" t="str">
        <f t="shared" si="3"/>
        <v>02406911202</v>
      </c>
      <c r="C230" s="1" t="s">
        <v>13</v>
      </c>
      <c r="D230" s="1" t="s">
        <v>47</v>
      </c>
      <c r="E230" s="1" t="s">
        <v>718</v>
      </c>
      <c r="F230" s="1" t="s">
        <v>39</v>
      </c>
      <c r="G230" s="1" t="str">
        <f>"04029180371"</f>
        <v>04029180371</v>
      </c>
      <c r="I230" s="1" t="s">
        <v>697</v>
      </c>
      <c r="L230" s="1" t="s">
        <v>44</v>
      </c>
      <c r="M230" s="1" t="s">
        <v>719</v>
      </c>
      <c r="N230" s="1" t="s">
        <v>720</v>
      </c>
      <c r="O230" s="1" t="s">
        <v>721</v>
      </c>
      <c r="P230" s="1" t="s">
        <v>722</v>
      </c>
      <c r="Q230" s="1" t="s">
        <v>723</v>
      </c>
      <c r="AJ230" s="2">
        <v>45075</v>
      </c>
    </row>
    <row r="231" spans="1:36">
      <c r="A231" s="1" t="str">
        <f>"9853158B32"</f>
        <v>9853158B32</v>
      </c>
      <c r="B231" s="1" t="str">
        <f t="shared" si="3"/>
        <v>02406911202</v>
      </c>
      <c r="C231" s="1" t="s">
        <v>13</v>
      </c>
      <c r="D231" s="1" t="s">
        <v>47</v>
      </c>
      <c r="E231" s="1" t="s">
        <v>724</v>
      </c>
      <c r="F231" s="1" t="s">
        <v>39</v>
      </c>
      <c r="G231" s="1" t="str">
        <f>"06209390969"</f>
        <v>06209390969</v>
      </c>
      <c r="I231" s="1" t="s">
        <v>725</v>
      </c>
      <c r="L231" s="1" t="s">
        <v>44</v>
      </c>
      <c r="M231" s="1" t="s">
        <v>726</v>
      </c>
      <c r="N231" s="1" t="s">
        <v>727</v>
      </c>
      <c r="P231" s="1" t="s">
        <v>728</v>
      </c>
      <c r="Q231" s="1" t="s">
        <v>729</v>
      </c>
      <c r="AJ231" s="2">
        <v>45075</v>
      </c>
    </row>
    <row r="232" spans="1:36">
      <c r="A232" s="1" t="str">
        <f>"985682909D"</f>
        <v>985682909D</v>
      </c>
      <c r="B232" s="1" t="str">
        <f t="shared" si="3"/>
        <v>02406911202</v>
      </c>
      <c r="C232" s="1" t="s">
        <v>13</v>
      </c>
      <c r="D232" s="1" t="s">
        <v>47</v>
      </c>
      <c r="E232" s="1" t="s">
        <v>730</v>
      </c>
      <c r="F232" s="1" t="s">
        <v>39</v>
      </c>
      <c r="G232" s="1" t="str">
        <f>"02246610162"</f>
        <v>02246610162</v>
      </c>
      <c r="I232" s="1" t="s">
        <v>731</v>
      </c>
      <c r="L232" s="1" t="s">
        <v>44</v>
      </c>
      <c r="M232" s="1" t="s">
        <v>732</v>
      </c>
      <c r="N232" s="1" t="s">
        <v>733</v>
      </c>
      <c r="O232" s="1" t="s">
        <v>734</v>
      </c>
      <c r="P232" s="1" t="s">
        <v>735</v>
      </c>
      <c r="Q232" s="1" t="s">
        <v>736</v>
      </c>
      <c r="AJ232" s="2">
        <v>45075</v>
      </c>
    </row>
    <row r="233" spans="1:36">
      <c r="A233" s="1" t="str">
        <f>"9856832316"</f>
        <v>9856832316</v>
      </c>
      <c r="B233" s="1" t="str">
        <f t="shared" si="3"/>
        <v>02406911202</v>
      </c>
      <c r="C233" s="1" t="s">
        <v>13</v>
      </c>
      <c r="D233" s="1" t="s">
        <v>47</v>
      </c>
      <c r="E233" s="1" t="s">
        <v>737</v>
      </c>
      <c r="F233" s="1" t="s">
        <v>39</v>
      </c>
      <c r="G233" s="1" t="str">
        <f>"09331210154"</f>
        <v>09331210154</v>
      </c>
      <c r="I233" s="1" t="s">
        <v>556</v>
      </c>
      <c r="L233" s="1" t="s">
        <v>44</v>
      </c>
      <c r="M233" s="1" t="s">
        <v>738</v>
      </c>
      <c r="N233" s="1" t="s">
        <v>739</v>
      </c>
      <c r="O233" s="1" t="s">
        <v>740</v>
      </c>
      <c r="P233" s="1" t="s">
        <v>741</v>
      </c>
      <c r="Q233" s="1" t="s">
        <v>742</v>
      </c>
      <c r="AJ233" s="2">
        <v>45077</v>
      </c>
    </row>
    <row r="234" spans="1:36">
      <c r="A234" s="1" t="str">
        <f>"9613149D80"</f>
        <v>9613149D80</v>
      </c>
      <c r="B234" s="1" t="str">
        <f t="shared" si="3"/>
        <v>02406911202</v>
      </c>
      <c r="C234" s="1" t="s">
        <v>13</v>
      </c>
      <c r="D234" s="1" t="s">
        <v>47</v>
      </c>
      <c r="E234" s="1" t="s">
        <v>705</v>
      </c>
      <c r="F234" s="1" t="s">
        <v>39</v>
      </c>
      <c r="G234" s="1" t="str">
        <f>"06209390969"</f>
        <v>06209390969</v>
      </c>
      <c r="I234" s="1" t="s">
        <v>725</v>
      </c>
      <c r="L234" s="1" t="s">
        <v>44</v>
      </c>
      <c r="M234" s="1" t="s">
        <v>743</v>
      </c>
      <c r="N234" s="1" t="s">
        <v>744</v>
      </c>
      <c r="O234" s="1" t="s">
        <v>745</v>
      </c>
      <c r="Q234" s="1" t="s">
        <v>148</v>
      </c>
      <c r="R234" s="1" t="s">
        <v>746</v>
      </c>
      <c r="S234" s="1" t="s">
        <v>747</v>
      </c>
      <c r="AJ234" s="2">
        <v>44945</v>
      </c>
    </row>
    <row r="235" spans="1:36">
      <c r="A235" s="1" t="str">
        <f>"99100922A1"</f>
        <v>99100922A1</v>
      </c>
      <c r="B235" s="1" t="str">
        <f t="shared" si="3"/>
        <v>02406911202</v>
      </c>
      <c r="C235" s="1" t="s">
        <v>13</v>
      </c>
      <c r="D235" s="1" t="s">
        <v>47</v>
      </c>
      <c r="E235" s="1" t="s">
        <v>748</v>
      </c>
      <c r="F235" s="1" t="s">
        <v>39</v>
      </c>
      <c r="G235" s="1" t="str">
        <f>"07869740584"</f>
        <v>07869740584</v>
      </c>
      <c r="I235" s="1" t="s">
        <v>749</v>
      </c>
      <c r="L235" s="1" t="s">
        <v>44</v>
      </c>
      <c r="M235" s="1" t="s">
        <v>750</v>
      </c>
      <c r="N235" s="1" t="s">
        <v>751</v>
      </c>
      <c r="O235" s="1" t="s">
        <v>752</v>
      </c>
      <c r="P235" s="1" t="s">
        <v>753</v>
      </c>
      <c r="Q235" s="1" t="s">
        <v>754</v>
      </c>
      <c r="AJ235" s="2">
        <v>45099</v>
      </c>
    </row>
    <row r="236" spans="1:36">
      <c r="A236" s="1" t="str">
        <f>"9861422EDC"</f>
        <v>9861422EDC</v>
      </c>
      <c r="B236" s="1" t="str">
        <f t="shared" si="3"/>
        <v>02406911202</v>
      </c>
      <c r="C236" s="1" t="s">
        <v>13</v>
      </c>
      <c r="D236" s="1" t="s">
        <v>47</v>
      </c>
      <c r="E236" s="1" t="s">
        <v>755</v>
      </c>
      <c r="F236" s="1" t="s">
        <v>39</v>
      </c>
      <c r="G236" s="1" t="str">
        <f>"06814140965"</f>
        <v>06814140965</v>
      </c>
      <c r="I236" s="1" t="s">
        <v>550</v>
      </c>
      <c r="L236" s="1" t="s">
        <v>44</v>
      </c>
      <c r="M236" s="1" t="s">
        <v>756</v>
      </c>
      <c r="P236" s="1" t="s">
        <v>756</v>
      </c>
      <c r="AJ236" s="2">
        <v>45078</v>
      </c>
    </row>
    <row r="237" spans="1:36">
      <c r="A237" s="1" t="str">
        <f>"9900751630"</f>
        <v>9900751630</v>
      </c>
      <c r="B237" s="1" t="str">
        <f t="shared" si="3"/>
        <v>02406911202</v>
      </c>
      <c r="C237" s="1" t="s">
        <v>13</v>
      </c>
      <c r="D237" s="1" t="s">
        <v>47</v>
      </c>
      <c r="E237" s="1" t="s">
        <v>757</v>
      </c>
      <c r="F237" s="1" t="s">
        <v>39</v>
      </c>
      <c r="G237" s="1" t="str">
        <f>"01262470667"</f>
        <v>01262470667</v>
      </c>
      <c r="I237" s="1" t="s">
        <v>758</v>
      </c>
      <c r="L237" s="1" t="s">
        <v>44</v>
      </c>
      <c r="M237" s="1" t="s">
        <v>759</v>
      </c>
      <c r="O237" s="1" t="s">
        <v>759</v>
      </c>
      <c r="AJ237" s="2">
        <v>45097</v>
      </c>
    </row>
    <row r="238" spans="1:36">
      <c r="A238" s="1" t="str">
        <f>"97569276DE"</f>
        <v>97569276DE</v>
      </c>
      <c r="B238" s="1" t="str">
        <f t="shared" si="3"/>
        <v>02406911202</v>
      </c>
      <c r="C238" s="1" t="s">
        <v>13</v>
      </c>
      <c r="D238" s="1" t="s">
        <v>47</v>
      </c>
      <c r="E238" s="1" t="s">
        <v>760</v>
      </c>
      <c r="F238" s="1" t="s">
        <v>39</v>
      </c>
      <c r="G238" s="1" t="str">
        <f>"03912680372"</f>
        <v>03912680372</v>
      </c>
      <c r="I238" s="1" t="s">
        <v>761</v>
      </c>
      <c r="L238" s="1" t="s">
        <v>44</v>
      </c>
      <c r="M238" s="1" t="s">
        <v>762</v>
      </c>
      <c r="N238" s="1" t="s">
        <v>763</v>
      </c>
      <c r="Q238" s="1" t="s">
        <v>764</v>
      </c>
      <c r="AJ238" s="2">
        <v>45020</v>
      </c>
    </row>
    <row r="239" spans="1:36">
      <c r="A239" s="1" t="str">
        <f>"9686512A91"</f>
        <v>9686512A91</v>
      </c>
      <c r="B239" s="1" t="str">
        <f t="shared" si="3"/>
        <v>02406911202</v>
      </c>
      <c r="C239" s="1" t="s">
        <v>13</v>
      </c>
      <c r="D239" s="1" t="s">
        <v>47</v>
      </c>
      <c r="E239" s="1" t="s">
        <v>765</v>
      </c>
      <c r="F239" s="1" t="s">
        <v>39</v>
      </c>
      <c r="G239" s="1" t="str">
        <f>"02944970348"</f>
        <v>02944970348</v>
      </c>
      <c r="I239" s="1" t="s">
        <v>766</v>
      </c>
      <c r="L239" s="1" t="s">
        <v>44</v>
      </c>
      <c r="M239" s="1" t="s">
        <v>767</v>
      </c>
      <c r="N239" s="1" t="s">
        <v>768</v>
      </c>
      <c r="Q239" s="1" t="s">
        <v>769</v>
      </c>
      <c r="R239" s="1" t="s">
        <v>770</v>
      </c>
      <c r="AJ239" s="2">
        <v>44986</v>
      </c>
    </row>
    <row r="240" spans="1:36">
      <c r="A240" s="1" t="str">
        <f>"968651905B"</f>
        <v>968651905B</v>
      </c>
      <c r="B240" s="1" t="str">
        <f t="shared" si="3"/>
        <v>02406911202</v>
      </c>
      <c r="C240" s="1" t="s">
        <v>13</v>
      </c>
      <c r="D240" s="1" t="s">
        <v>47</v>
      </c>
      <c r="E240" s="1" t="s">
        <v>771</v>
      </c>
      <c r="F240" s="1" t="s">
        <v>39</v>
      </c>
      <c r="G240" s="1" t="str">
        <f>"02401440157"</f>
        <v>02401440157</v>
      </c>
      <c r="I240" s="1" t="s">
        <v>772</v>
      </c>
      <c r="L240" s="1" t="s">
        <v>44</v>
      </c>
      <c r="M240" s="1" t="s">
        <v>773</v>
      </c>
      <c r="N240" s="1" t="s">
        <v>774</v>
      </c>
      <c r="R240" s="1" t="s">
        <v>775</v>
      </c>
      <c r="AJ240" s="2">
        <v>44986</v>
      </c>
    </row>
    <row r="241" spans="1:36">
      <c r="A241" s="1" t="str">
        <f>"9686531A3F"</f>
        <v>9686531A3F</v>
      </c>
      <c r="B241" s="1" t="str">
        <f t="shared" si="3"/>
        <v>02406911202</v>
      </c>
      <c r="C241" s="1" t="s">
        <v>13</v>
      </c>
      <c r="D241" s="1" t="s">
        <v>47</v>
      </c>
      <c r="E241" s="1" t="s">
        <v>776</v>
      </c>
      <c r="F241" s="1" t="s">
        <v>39</v>
      </c>
      <c r="G241" s="1" t="str">
        <f>"01241900669"</f>
        <v>01241900669</v>
      </c>
      <c r="I241" s="1" t="s">
        <v>777</v>
      </c>
      <c r="L241" s="1" t="s">
        <v>44</v>
      </c>
      <c r="M241" s="1" t="s">
        <v>778</v>
      </c>
      <c r="N241" s="1" t="s">
        <v>779</v>
      </c>
      <c r="O241" s="1" t="s">
        <v>780</v>
      </c>
      <c r="Q241" s="1" t="s">
        <v>781</v>
      </c>
      <c r="R241" s="1" t="s">
        <v>782</v>
      </c>
      <c r="AJ241" s="2">
        <v>44986</v>
      </c>
    </row>
    <row r="242" spans="1:36">
      <c r="A242" s="1" t="str">
        <f>"9686537F31"</f>
        <v>9686537F31</v>
      </c>
      <c r="B242" s="1" t="str">
        <f t="shared" si="3"/>
        <v>02406911202</v>
      </c>
      <c r="C242" s="1" t="s">
        <v>13</v>
      </c>
      <c r="D242" s="1" t="s">
        <v>47</v>
      </c>
      <c r="E242" s="1" t="s">
        <v>783</v>
      </c>
      <c r="F242" s="1" t="s">
        <v>39</v>
      </c>
      <c r="G242" s="1" t="str">
        <f>"11846301007"</f>
        <v>11846301007</v>
      </c>
      <c r="I242" s="1" t="s">
        <v>784</v>
      </c>
      <c r="L242" s="1" t="s">
        <v>44</v>
      </c>
      <c r="M242" s="1" t="s">
        <v>785</v>
      </c>
      <c r="N242" s="1" t="s">
        <v>786</v>
      </c>
      <c r="Q242" s="1" t="s">
        <v>787</v>
      </c>
      <c r="R242" s="1" t="s">
        <v>788</v>
      </c>
      <c r="AJ242" s="2">
        <v>44986</v>
      </c>
    </row>
    <row r="243" spans="1:36">
      <c r="A243" s="1" t="str">
        <f>"9686547774"</f>
        <v>9686547774</v>
      </c>
      <c r="B243" s="1" t="str">
        <f t="shared" si="3"/>
        <v>02406911202</v>
      </c>
      <c r="C243" s="1" t="s">
        <v>13</v>
      </c>
      <c r="D243" s="1" t="s">
        <v>47</v>
      </c>
      <c r="E243" s="1" t="s">
        <v>789</v>
      </c>
      <c r="F243" s="1" t="s">
        <v>39</v>
      </c>
      <c r="G243" s="1" t="str">
        <f>"QRTFBA65C16B506I"</f>
        <v>QRTFBA65C16B506I</v>
      </c>
      <c r="I243" s="1" t="s">
        <v>790</v>
      </c>
      <c r="L243" s="1" t="s">
        <v>44</v>
      </c>
      <c r="M243" s="1" t="s">
        <v>791</v>
      </c>
      <c r="N243" s="1" t="s">
        <v>792</v>
      </c>
      <c r="O243" s="1" t="s">
        <v>793</v>
      </c>
      <c r="Q243" s="1" t="s">
        <v>794</v>
      </c>
      <c r="R243" s="1" t="s">
        <v>795</v>
      </c>
      <c r="AJ243" s="2">
        <v>44986</v>
      </c>
    </row>
    <row r="244" spans="1:36">
      <c r="A244" s="1" t="str">
        <f>"9686557FB2"</f>
        <v>9686557FB2</v>
      </c>
      <c r="B244" s="1" t="str">
        <f t="shared" si="3"/>
        <v>02406911202</v>
      </c>
      <c r="C244" s="1" t="s">
        <v>13</v>
      </c>
      <c r="D244" s="1" t="s">
        <v>47</v>
      </c>
      <c r="E244" s="1" t="s">
        <v>796</v>
      </c>
      <c r="F244" s="1" t="s">
        <v>39</v>
      </c>
      <c r="G244" s="1" t="str">
        <f>"10329000961"</f>
        <v>10329000961</v>
      </c>
      <c r="I244" s="1" t="s">
        <v>797</v>
      </c>
      <c r="L244" s="1" t="s">
        <v>44</v>
      </c>
      <c r="M244" s="1" t="s">
        <v>798</v>
      </c>
      <c r="N244" s="1" t="s">
        <v>799</v>
      </c>
      <c r="O244" s="1" t="s">
        <v>800</v>
      </c>
      <c r="Q244" s="1" t="s">
        <v>801</v>
      </c>
      <c r="AJ244" s="2">
        <v>44986</v>
      </c>
    </row>
    <row r="245" spans="1:36">
      <c r="A245" s="1" t="str">
        <f>"97931792F8"</f>
        <v>97931792F8</v>
      </c>
      <c r="B245" s="1" t="str">
        <f t="shared" si="3"/>
        <v>02406911202</v>
      </c>
      <c r="C245" s="1" t="s">
        <v>13</v>
      </c>
      <c r="D245" s="1" t="s">
        <v>47</v>
      </c>
      <c r="E245" s="1" t="s">
        <v>802</v>
      </c>
      <c r="F245" s="1" t="s">
        <v>39</v>
      </c>
      <c r="G245" s="1" t="str">
        <f>"12792100153"</f>
        <v>12792100153</v>
      </c>
      <c r="I245" s="1" t="s">
        <v>803</v>
      </c>
      <c r="L245" s="1" t="s">
        <v>44</v>
      </c>
      <c r="M245" s="1" t="s">
        <v>804</v>
      </c>
      <c r="O245" s="1" t="s">
        <v>804</v>
      </c>
      <c r="AJ245" s="2">
        <v>45042</v>
      </c>
    </row>
    <row r="246" spans="1:36">
      <c r="A246" s="1" t="str">
        <f>"9732332E6C"</f>
        <v>9732332E6C</v>
      </c>
      <c r="B246" s="1" t="str">
        <f t="shared" si="3"/>
        <v>02406911202</v>
      </c>
      <c r="C246" s="1" t="s">
        <v>13</v>
      </c>
      <c r="D246" s="1" t="s">
        <v>47</v>
      </c>
      <c r="E246" s="1" t="s">
        <v>805</v>
      </c>
      <c r="F246" s="1" t="s">
        <v>39</v>
      </c>
      <c r="G246" s="1" t="str">
        <f>"08082461008"</f>
        <v>08082461008</v>
      </c>
      <c r="I246" s="1" t="s">
        <v>423</v>
      </c>
      <c r="L246" s="1" t="s">
        <v>44</v>
      </c>
      <c r="M246" s="1" t="s">
        <v>806</v>
      </c>
      <c r="N246" s="1" t="s">
        <v>807</v>
      </c>
      <c r="O246" s="1" t="s">
        <v>807</v>
      </c>
      <c r="AJ246" s="2">
        <v>45008</v>
      </c>
    </row>
    <row r="247" spans="1:36">
      <c r="A247" s="1" t="str">
        <f>"9867933BE9"</f>
        <v>9867933BE9</v>
      </c>
      <c r="B247" s="1" t="str">
        <f t="shared" si="3"/>
        <v>02406911202</v>
      </c>
      <c r="C247" s="1" t="s">
        <v>13</v>
      </c>
      <c r="D247" s="1" t="s">
        <v>47</v>
      </c>
      <c r="E247" s="1" t="s">
        <v>808</v>
      </c>
      <c r="F247" s="1" t="s">
        <v>39</v>
      </c>
      <c r="G247" s="1" t="str">
        <f>"03493440162"</f>
        <v>03493440162</v>
      </c>
      <c r="I247" s="1" t="s">
        <v>809</v>
      </c>
      <c r="L247" s="1" t="s">
        <v>44</v>
      </c>
      <c r="M247" s="1" t="s">
        <v>810</v>
      </c>
      <c r="O247" s="1" t="s">
        <v>810</v>
      </c>
      <c r="AJ247" s="2">
        <v>45083</v>
      </c>
    </row>
    <row r="248" spans="1:36">
      <c r="A248" s="1" t="str">
        <f>"98650787E5"</f>
        <v>98650787E5</v>
      </c>
      <c r="B248" s="1" t="str">
        <f t="shared" si="3"/>
        <v>02406911202</v>
      </c>
      <c r="C248" s="1" t="s">
        <v>13</v>
      </c>
      <c r="D248" s="1" t="s">
        <v>47</v>
      </c>
      <c r="E248" s="1" t="s">
        <v>811</v>
      </c>
      <c r="F248" s="1" t="s">
        <v>39</v>
      </c>
      <c r="G248" s="1" t="str">
        <f>"09238800156"</f>
        <v>09238800156</v>
      </c>
      <c r="I248" s="1" t="s">
        <v>88</v>
      </c>
      <c r="L248" s="1" t="s">
        <v>44</v>
      </c>
      <c r="M248" s="1" t="s">
        <v>812</v>
      </c>
      <c r="O248" s="1" t="s">
        <v>812</v>
      </c>
      <c r="AJ248" s="2">
        <v>45082</v>
      </c>
    </row>
    <row r="249" spans="1:36">
      <c r="A249" s="1" t="str">
        <f>"9793802515"</f>
        <v>9793802515</v>
      </c>
      <c r="B249" s="1" t="str">
        <f t="shared" si="3"/>
        <v>02406911202</v>
      </c>
      <c r="C249" s="1" t="s">
        <v>13</v>
      </c>
      <c r="D249" s="1" t="s">
        <v>47</v>
      </c>
      <c r="E249" s="1" t="s">
        <v>813</v>
      </c>
      <c r="F249" s="1" t="s">
        <v>39</v>
      </c>
      <c r="G249" s="1" t="str">
        <f>"00474010345"</f>
        <v>00474010345</v>
      </c>
      <c r="I249" s="1" t="s">
        <v>814</v>
      </c>
      <c r="L249" s="1" t="s">
        <v>44</v>
      </c>
      <c r="M249" s="1" t="s">
        <v>815</v>
      </c>
      <c r="O249" s="1" t="s">
        <v>815</v>
      </c>
      <c r="AJ249" s="2">
        <v>45043</v>
      </c>
    </row>
    <row r="250" spans="1:36">
      <c r="A250" s="1" t="str">
        <f>"9603430922"</f>
        <v>9603430922</v>
      </c>
      <c r="B250" s="1" t="str">
        <f t="shared" si="3"/>
        <v>02406911202</v>
      </c>
      <c r="C250" s="1" t="s">
        <v>13</v>
      </c>
      <c r="D250" s="1" t="s">
        <v>47</v>
      </c>
      <c r="E250" s="1" t="s">
        <v>816</v>
      </c>
      <c r="F250" s="1" t="s">
        <v>39</v>
      </c>
      <c r="G250" s="1" t="str">
        <f>"02109510368"</f>
        <v>02109510368</v>
      </c>
      <c r="I250" s="1" t="s">
        <v>817</v>
      </c>
      <c r="L250" s="1" t="s">
        <v>44</v>
      </c>
      <c r="M250" s="3" t="s">
        <v>6760</v>
      </c>
      <c r="AJ250" s="2">
        <v>44942</v>
      </c>
    </row>
    <row r="251" spans="1:36">
      <c r="A251" s="1" t="str">
        <f>"96164544E2"</f>
        <v>96164544E2</v>
      </c>
      <c r="B251" s="1" t="str">
        <f t="shared" si="3"/>
        <v>02406911202</v>
      </c>
      <c r="C251" s="1" t="s">
        <v>13</v>
      </c>
      <c r="D251" s="1" t="s">
        <v>47</v>
      </c>
      <c r="E251" s="1" t="s">
        <v>818</v>
      </c>
      <c r="F251" s="1" t="s">
        <v>39</v>
      </c>
      <c r="G251" s="1" t="str">
        <f>"09238800156"</f>
        <v>09238800156</v>
      </c>
      <c r="I251" s="1" t="s">
        <v>88</v>
      </c>
      <c r="L251" s="1" t="s">
        <v>44</v>
      </c>
      <c r="M251" s="1" t="s">
        <v>819</v>
      </c>
      <c r="N251" s="1" t="s">
        <v>820</v>
      </c>
      <c r="Q251" s="1" t="s">
        <v>821</v>
      </c>
      <c r="R251" s="1" t="s">
        <v>822</v>
      </c>
      <c r="S251" s="1" t="s">
        <v>823</v>
      </c>
      <c r="AJ251" s="2">
        <v>44949</v>
      </c>
    </row>
    <row r="252" spans="1:36">
      <c r="A252" s="1" t="str">
        <f>"9616566150"</f>
        <v>9616566150</v>
      </c>
      <c r="B252" s="1" t="str">
        <f t="shared" si="3"/>
        <v>02406911202</v>
      </c>
      <c r="C252" s="1" t="s">
        <v>13</v>
      </c>
      <c r="D252" s="1" t="s">
        <v>47</v>
      </c>
      <c r="E252" s="1" t="s">
        <v>818</v>
      </c>
      <c r="F252" s="1" t="s">
        <v>39</v>
      </c>
      <c r="G252" s="1" t="str">
        <f>"09050810960"</f>
        <v>09050810960</v>
      </c>
      <c r="I252" s="1" t="s">
        <v>118</v>
      </c>
      <c r="L252" s="1" t="s">
        <v>44</v>
      </c>
      <c r="M252" s="1" t="s">
        <v>824</v>
      </c>
      <c r="N252" s="1" t="s">
        <v>825</v>
      </c>
      <c r="Q252" s="1" t="s">
        <v>826</v>
      </c>
      <c r="R252" s="1" t="s">
        <v>827</v>
      </c>
      <c r="S252" s="1" t="s">
        <v>828</v>
      </c>
      <c r="AJ252" s="2">
        <v>44949</v>
      </c>
    </row>
    <row r="253" spans="1:36">
      <c r="A253" s="1" t="str">
        <f>"9616581DAD"</f>
        <v>9616581DAD</v>
      </c>
      <c r="B253" s="1" t="str">
        <f t="shared" si="3"/>
        <v>02406911202</v>
      </c>
      <c r="C253" s="1" t="s">
        <v>13</v>
      </c>
      <c r="D253" s="1" t="s">
        <v>47</v>
      </c>
      <c r="E253" s="1" t="s">
        <v>818</v>
      </c>
      <c r="F253" s="1" t="s">
        <v>39</v>
      </c>
      <c r="G253" s="1" t="str">
        <f>"13522771008"</f>
        <v>13522771008</v>
      </c>
      <c r="I253" s="1" t="s">
        <v>271</v>
      </c>
      <c r="L253" s="1" t="s">
        <v>44</v>
      </c>
      <c r="M253" s="1" t="s">
        <v>829</v>
      </c>
      <c r="Q253" s="1" t="s">
        <v>830</v>
      </c>
      <c r="R253" s="1" t="s">
        <v>831</v>
      </c>
      <c r="AJ253" s="2">
        <v>44949</v>
      </c>
    </row>
    <row r="254" spans="1:36">
      <c r="A254" s="1" t="str">
        <f>"9927924E0C"</f>
        <v>9927924E0C</v>
      </c>
      <c r="B254" s="1" t="str">
        <f t="shared" si="3"/>
        <v>02406911202</v>
      </c>
      <c r="C254" s="1" t="s">
        <v>13</v>
      </c>
      <c r="D254" s="1" t="s">
        <v>47</v>
      </c>
      <c r="E254" s="1" t="s">
        <v>832</v>
      </c>
      <c r="F254" s="1" t="s">
        <v>431</v>
      </c>
      <c r="G254" s="1" t="str">
        <f>"02848620163"</f>
        <v>02848620163</v>
      </c>
      <c r="I254" s="1" t="s">
        <v>833</v>
      </c>
      <c r="L254" s="1" t="s">
        <v>44</v>
      </c>
      <c r="M254" s="1" t="s">
        <v>834</v>
      </c>
      <c r="O254" s="1" t="s">
        <v>834</v>
      </c>
      <c r="AJ254" s="2">
        <v>45105</v>
      </c>
    </row>
    <row r="255" spans="1:36">
      <c r="A255" s="1" t="str">
        <f>"99286938A7"</f>
        <v>99286938A7</v>
      </c>
      <c r="B255" s="1" t="str">
        <f t="shared" si="3"/>
        <v>02406911202</v>
      </c>
      <c r="C255" s="1" t="s">
        <v>13</v>
      </c>
      <c r="D255" s="1" t="s">
        <v>47</v>
      </c>
      <c r="E255" s="1" t="s">
        <v>835</v>
      </c>
      <c r="F255" s="1" t="s">
        <v>431</v>
      </c>
      <c r="G255" s="1" t="str">
        <f>"03831290287"</f>
        <v>03831290287</v>
      </c>
      <c r="I255" s="1" t="s">
        <v>836</v>
      </c>
      <c r="L255" s="1" t="s">
        <v>44</v>
      </c>
      <c r="M255" s="1" t="s">
        <v>837</v>
      </c>
      <c r="O255" s="1" t="s">
        <v>837</v>
      </c>
      <c r="AJ255" s="2">
        <v>45105</v>
      </c>
    </row>
    <row r="256" spans="1:36">
      <c r="A256" s="1" t="str">
        <f>"98634643FC"</f>
        <v>98634643FC</v>
      </c>
      <c r="B256" s="1" t="str">
        <f t="shared" si="3"/>
        <v>02406911202</v>
      </c>
      <c r="C256" s="1" t="s">
        <v>13</v>
      </c>
      <c r="D256" s="1" t="s">
        <v>47</v>
      </c>
      <c r="E256" s="1" t="s">
        <v>838</v>
      </c>
      <c r="F256" s="1" t="s">
        <v>39</v>
      </c>
      <c r="G256" s="1" t="str">
        <f>"11192991005"</f>
        <v>11192991005</v>
      </c>
      <c r="I256" s="1" t="s">
        <v>335</v>
      </c>
      <c r="L256" s="1" t="s">
        <v>44</v>
      </c>
      <c r="M256" s="1" t="s">
        <v>839</v>
      </c>
      <c r="O256" s="1" t="s">
        <v>839</v>
      </c>
      <c r="AJ256" s="2">
        <v>45082</v>
      </c>
    </row>
    <row r="257" spans="1:36">
      <c r="A257" s="1" t="str">
        <f>"98634822D7"</f>
        <v>98634822D7</v>
      </c>
      <c r="B257" s="1" t="str">
        <f t="shared" si="3"/>
        <v>02406911202</v>
      </c>
      <c r="C257" s="1" t="s">
        <v>13</v>
      </c>
      <c r="D257" s="1" t="s">
        <v>47</v>
      </c>
      <c r="E257" s="1" t="s">
        <v>838</v>
      </c>
      <c r="F257" s="1" t="s">
        <v>39</v>
      </c>
      <c r="G257" s="1" t="str">
        <f>"07123400157"</f>
        <v>07123400157</v>
      </c>
      <c r="I257" s="1" t="s">
        <v>76</v>
      </c>
      <c r="L257" s="1" t="s">
        <v>44</v>
      </c>
      <c r="M257" s="1" t="s">
        <v>840</v>
      </c>
      <c r="N257" s="1" t="s">
        <v>841</v>
      </c>
      <c r="O257" s="1" t="s">
        <v>842</v>
      </c>
      <c r="S257" s="1" t="s">
        <v>843</v>
      </c>
      <c r="AJ257" s="2">
        <v>45082</v>
      </c>
    </row>
    <row r="258" spans="1:36">
      <c r="A258" s="1" t="str">
        <f>"9863501285"</f>
        <v>9863501285</v>
      </c>
      <c r="B258" s="1" t="str">
        <f t="shared" ref="B258:B321" si="4">"02406911202"</f>
        <v>02406911202</v>
      </c>
      <c r="C258" s="1" t="s">
        <v>13</v>
      </c>
      <c r="D258" s="1" t="s">
        <v>47</v>
      </c>
      <c r="E258" s="1" t="s">
        <v>838</v>
      </c>
      <c r="F258" s="1" t="s">
        <v>39</v>
      </c>
      <c r="G258" s="1" t="str">
        <f>"03493440162"</f>
        <v>03493440162</v>
      </c>
      <c r="I258" s="1" t="s">
        <v>809</v>
      </c>
      <c r="L258" s="1" t="s">
        <v>44</v>
      </c>
      <c r="M258" s="1" t="s">
        <v>844</v>
      </c>
      <c r="O258" s="1" t="s">
        <v>845</v>
      </c>
      <c r="S258" s="1" t="s">
        <v>846</v>
      </c>
      <c r="AJ258" s="2">
        <v>45082</v>
      </c>
    </row>
    <row r="259" spans="1:36">
      <c r="A259" s="1" t="str">
        <f>"9863517FB5"</f>
        <v>9863517FB5</v>
      </c>
      <c r="B259" s="1" t="str">
        <f t="shared" si="4"/>
        <v>02406911202</v>
      </c>
      <c r="C259" s="1" t="s">
        <v>13</v>
      </c>
      <c r="D259" s="1" t="s">
        <v>47</v>
      </c>
      <c r="E259" s="1" t="s">
        <v>838</v>
      </c>
      <c r="F259" s="1" t="s">
        <v>39</v>
      </c>
      <c r="G259" s="1" t="str">
        <f>"09238800156"</f>
        <v>09238800156</v>
      </c>
      <c r="I259" s="1" t="s">
        <v>88</v>
      </c>
      <c r="L259" s="1" t="s">
        <v>44</v>
      </c>
      <c r="M259" s="1" t="s">
        <v>847</v>
      </c>
      <c r="N259" s="1" t="s">
        <v>848</v>
      </c>
      <c r="O259" s="1" t="s">
        <v>849</v>
      </c>
      <c r="S259" s="1" t="s">
        <v>850</v>
      </c>
      <c r="AJ259" s="2">
        <v>45082</v>
      </c>
    </row>
    <row r="260" spans="1:36">
      <c r="A260" s="1" t="str">
        <f>"9863551BC5"</f>
        <v>9863551BC5</v>
      </c>
      <c r="B260" s="1" t="str">
        <f t="shared" si="4"/>
        <v>02406911202</v>
      </c>
      <c r="C260" s="1" t="s">
        <v>13</v>
      </c>
      <c r="D260" s="1" t="s">
        <v>47</v>
      </c>
      <c r="E260" s="1" t="s">
        <v>838</v>
      </c>
      <c r="F260" s="1" t="s">
        <v>39</v>
      </c>
      <c r="G260" s="1" t="str">
        <f>"07668030583"</f>
        <v>07668030583</v>
      </c>
      <c r="I260" s="1" t="s">
        <v>314</v>
      </c>
      <c r="L260" s="1" t="s">
        <v>44</v>
      </c>
      <c r="M260" s="1" t="s">
        <v>851</v>
      </c>
      <c r="N260" s="1" t="s">
        <v>852</v>
      </c>
      <c r="O260" s="1" t="s">
        <v>853</v>
      </c>
      <c r="AJ260" s="2">
        <v>45082</v>
      </c>
    </row>
    <row r="261" spans="1:36">
      <c r="A261" s="1" t="str">
        <f>"9863564681"</f>
        <v>9863564681</v>
      </c>
      <c r="B261" s="1" t="str">
        <f t="shared" si="4"/>
        <v>02406911202</v>
      </c>
      <c r="C261" s="1" t="s">
        <v>13</v>
      </c>
      <c r="D261" s="1" t="s">
        <v>47</v>
      </c>
      <c r="E261" s="1" t="s">
        <v>838</v>
      </c>
      <c r="F261" s="1" t="s">
        <v>39</v>
      </c>
      <c r="G261" s="1" t="str">
        <f>"03748120155"</f>
        <v>03748120155</v>
      </c>
      <c r="I261" s="1" t="s">
        <v>309</v>
      </c>
      <c r="L261" s="1" t="s">
        <v>44</v>
      </c>
      <c r="M261" s="1" t="s">
        <v>854</v>
      </c>
      <c r="N261" s="1" t="s">
        <v>855</v>
      </c>
      <c r="O261" s="1" t="s">
        <v>856</v>
      </c>
      <c r="S261" s="1" t="s">
        <v>857</v>
      </c>
      <c r="AJ261" s="2">
        <v>45082</v>
      </c>
    </row>
    <row r="262" spans="1:36">
      <c r="A262" s="1" t="str">
        <f>"9940297096"</f>
        <v>9940297096</v>
      </c>
      <c r="B262" s="1" t="str">
        <f t="shared" si="4"/>
        <v>02406911202</v>
      </c>
      <c r="C262" s="1" t="s">
        <v>13</v>
      </c>
      <c r="D262" s="1" t="s">
        <v>47</v>
      </c>
      <c r="E262" s="1" t="s">
        <v>858</v>
      </c>
      <c r="F262" s="1" t="s">
        <v>39</v>
      </c>
      <c r="G262" s="1" t="str">
        <f>"02606120349"</f>
        <v>02606120349</v>
      </c>
      <c r="I262" s="1" t="s">
        <v>595</v>
      </c>
      <c r="L262" s="1" t="s">
        <v>44</v>
      </c>
      <c r="M262" s="1" t="s">
        <v>859</v>
      </c>
      <c r="N262" s="1" t="s">
        <v>860</v>
      </c>
      <c r="Q262" s="1" t="s">
        <v>861</v>
      </c>
      <c r="AJ262" s="2">
        <v>45106</v>
      </c>
    </row>
    <row r="263" spans="1:36">
      <c r="A263" s="1" t="str">
        <f>"99080540D2"</f>
        <v>99080540D2</v>
      </c>
      <c r="B263" s="1" t="str">
        <f t="shared" si="4"/>
        <v>02406911202</v>
      </c>
      <c r="C263" s="1" t="s">
        <v>13</v>
      </c>
      <c r="D263" s="1" t="s">
        <v>47</v>
      </c>
      <c r="E263" s="1" t="s">
        <v>862</v>
      </c>
      <c r="F263" s="1" t="s">
        <v>99</v>
      </c>
      <c r="G263" s="1" t="str">
        <f>"03411480373"</f>
        <v>03411480373</v>
      </c>
      <c r="I263" s="1" t="s">
        <v>110</v>
      </c>
      <c r="L263" s="1" t="s">
        <v>44</v>
      </c>
      <c r="M263" s="1" t="s">
        <v>863</v>
      </c>
      <c r="N263" s="1" t="s">
        <v>864</v>
      </c>
      <c r="O263" s="1" t="s">
        <v>865</v>
      </c>
      <c r="P263" s="1" t="s">
        <v>866</v>
      </c>
      <c r="Q263" s="1" t="s">
        <v>867</v>
      </c>
      <c r="AJ263" s="2">
        <v>45104</v>
      </c>
    </row>
    <row r="264" spans="1:36">
      <c r="A264" s="1" t="str">
        <f>"9879321199"</f>
        <v>9879321199</v>
      </c>
      <c r="B264" s="1" t="str">
        <f t="shared" si="4"/>
        <v>02406911202</v>
      </c>
      <c r="C264" s="1" t="s">
        <v>13</v>
      </c>
      <c r="D264" s="1" t="s">
        <v>47</v>
      </c>
      <c r="E264" s="1" t="s">
        <v>868</v>
      </c>
      <c r="F264" s="1" t="s">
        <v>39</v>
      </c>
      <c r="G264" s="1" t="str">
        <f>"04303410726"</f>
        <v>04303410726</v>
      </c>
      <c r="I264" s="1" t="s">
        <v>869</v>
      </c>
      <c r="J264" s="1" t="s">
        <v>870</v>
      </c>
      <c r="K264" s="1" t="s">
        <v>51</v>
      </c>
      <c r="AJ264" s="2">
        <v>45092</v>
      </c>
    </row>
    <row r="265" spans="1:36">
      <c r="A265" s="1" t="str">
        <f>"9879321199"</f>
        <v>9879321199</v>
      </c>
      <c r="B265" s="1" t="str">
        <f t="shared" si="4"/>
        <v>02406911202</v>
      </c>
      <c r="C265" s="1" t="s">
        <v>13</v>
      </c>
      <c r="D265" s="1" t="s">
        <v>47</v>
      </c>
      <c r="E265" s="1" t="s">
        <v>868</v>
      </c>
      <c r="F265" s="1" t="s">
        <v>39</v>
      </c>
      <c r="G265" s="1" t="str">
        <f>"00667690044"</f>
        <v>00667690044</v>
      </c>
      <c r="I265" s="1" t="s">
        <v>871</v>
      </c>
      <c r="J265" s="1" t="s">
        <v>870</v>
      </c>
      <c r="K265" s="1" t="s">
        <v>53</v>
      </c>
      <c r="AJ265" s="2">
        <v>45092</v>
      </c>
    </row>
    <row r="266" spans="1:36">
      <c r="A266" s="1" t="str">
        <f>"9879321199"</f>
        <v>9879321199</v>
      </c>
      <c r="B266" s="1" t="str">
        <f t="shared" si="4"/>
        <v>02406911202</v>
      </c>
      <c r="C266" s="1" t="s">
        <v>13</v>
      </c>
      <c r="D266" s="1" t="s">
        <v>47</v>
      </c>
      <c r="E266" s="1" t="s">
        <v>868</v>
      </c>
      <c r="F266" s="1" t="s">
        <v>39</v>
      </c>
      <c r="I266" s="1" t="s">
        <v>870</v>
      </c>
      <c r="L266" s="1" t="s">
        <v>44</v>
      </c>
      <c r="M266" s="1" t="s">
        <v>872</v>
      </c>
      <c r="N266" s="1" t="s">
        <v>873</v>
      </c>
      <c r="O266" s="1" t="s">
        <v>874</v>
      </c>
      <c r="P266" s="1" t="s">
        <v>875</v>
      </c>
      <c r="Q266" s="1" t="s">
        <v>103</v>
      </c>
      <c r="AJ266" s="2">
        <v>45092</v>
      </c>
    </row>
    <row r="267" spans="1:36">
      <c r="A267" s="1" t="str">
        <f>"9841255C87"</f>
        <v>9841255C87</v>
      </c>
      <c r="B267" s="1" t="str">
        <f t="shared" si="4"/>
        <v>02406911202</v>
      </c>
      <c r="C267" s="1" t="s">
        <v>13</v>
      </c>
      <c r="D267" s="1" t="s">
        <v>47</v>
      </c>
      <c r="E267" s="1" t="s">
        <v>876</v>
      </c>
      <c r="F267" s="1" t="s">
        <v>39</v>
      </c>
      <c r="G267" s="1" t="str">
        <f>"02402671206"</f>
        <v>02402671206</v>
      </c>
      <c r="I267" s="1" t="s">
        <v>230</v>
      </c>
      <c r="L267" s="1" t="s">
        <v>44</v>
      </c>
      <c r="M267" s="1" t="s">
        <v>877</v>
      </c>
      <c r="Q267" s="1" t="s">
        <v>877</v>
      </c>
      <c r="AJ267" s="2">
        <v>45075</v>
      </c>
    </row>
    <row r="268" spans="1:36">
      <c r="A268" s="1" t="str">
        <f>"98481305F7"</f>
        <v>98481305F7</v>
      </c>
      <c r="B268" s="1" t="str">
        <f t="shared" si="4"/>
        <v>02406911202</v>
      </c>
      <c r="C268" s="1" t="s">
        <v>13</v>
      </c>
      <c r="D268" s="1" t="s">
        <v>47</v>
      </c>
      <c r="E268" s="1" t="s">
        <v>878</v>
      </c>
      <c r="F268" s="1" t="s">
        <v>39</v>
      </c>
      <c r="G268" s="1" t="str">
        <f>"03717020964"</f>
        <v>03717020964</v>
      </c>
      <c r="I268" s="1" t="s">
        <v>879</v>
      </c>
      <c r="L268" s="1" t="s">
        <v>44</v>
      </c>
      <c r="M268" s="1" t="s">
        <v>880</v>
      </c>
      <c r="O268" s="1" t="s">
        <v>880</v>
      </c>
      <c r="AJ268" s="2">
        <v>45083</v>
      </c>
    </row>
    <row r="269" spans="1:36">
      <c r="A269" s="1" t="str">
        <f>"9612163FD3"</f>
        <v>9612163FD3</v>
      </c>
      <c r="B269" s="1" t="str">
        <f t="shared" si="4"/>
        <v>02406911202</v>
      </c>
      <c r="C269" s="1" t="s">
        <v>13</v>
      </c>
      <c r="D269" s="1" t="s">
        <v>47</v>
      </c>
      <c r="E269" s="1" t="s">
        <v>881</v>
      </c>
      <c r="F269" s="1" t="s">
        <v>431</v>
      </c>
      <c r="G269" s="1" t="str">
        <f>"04311220265"</f>
        <v>04311220265</v>
      </c>
      <c r="I269" s="1" t="s">
        <v>882</v>
      </c>
      <c r="L269" s="1" t="s">
        <v>44</v>
      </c>
      <c r="M269" s="1" t="s">
        <v>883</v>
      </c>
      <c r="Q269" s="1" t="s">
        <v>883</v>
      </c>
      <c r="AJ269" s="2">
        <v>44971</v>
      </c>
    </row>
    <row r="270" spans="1:36">
      <c r="A270" s="1" t="str">
        <f>"96302036EA"</f>
        <v>96302036EA</v>
      </c>
      <c r="B270" s="1" t="str">
        <f t="shared" si="4"/>
        <v>02406911202</v>
      </c>
      <c r="C270" s="1" t="s">
        <v>13</v>
      </c>
      <c r="D270" s="1" t="s">
        <v>47</v>
      </c>
      <c r="E270" s="1" t="s">
        <v>884</v>
      </c>
      <c r="F270" s="1" t="s">
        <v>39</v>
      </c>
      <c r="G270" s="1" t="str">
        <f>"08397890586"</f>
        <v>08397890586</v>
      </c>
      <c r="I270" s="1" t="s">
        <v>885</v>
      </c>
      <c r="L270" s="1" t="s">
        <v>41</v>
      </c>
      <c r="AJ270" s="2">
        <v>44958</v>
      </c>
    </row>
    <row r="271" spans="1:36">
      <c r="A271" s="1" t="str">
        <f>"9780820BFD"</f>
        <v>9780820BFD</v>
      </c>
      <c r="B271" s="1" t="str">
        <f t="shared" si="4"/>
        <v>02406911202</v>
      </c>
      <c r="C271" s="1" t="s">
        <v>13</v>
      </c>
      <c r="D271" s="1" t="s">
        <v>47</v>
      </c>
      <c r="E271" s="1" t="s">
        <v>886</v>
      </c>
      <c r="F271" s="1" t="s">
        <v>39</v>
      </c>
      <c r="G271" s="1" t="str">
        <f>"00735000572"</f>
        <v>00735000572</v>
      </c>
      <c r="I271" s="1" t="s">
        <v>887</v>
      </c>
      <c r="L271" s="1" t="s">
        <v>41</v>
      </c>
      <c r="AJ271" s="2">
        <v>45044</v>
      </c>
    </row>
    <row r="272" spans="1:36">
      <c r="A272" s="1" t="str">
        <f>"9645667038"</f>
        <v>9645667038</v>
      </c>
      <c r="B272" s="1" t="str">
        <f t="shared" si="4"/>
        <v>02406911202</v>
      </c>
      <c r="C272" s="1" t="s">
        <v>13</v>
      </c>
      <c r="D272" s="1" t="s">
        <v>47</v>
      </c>
      <c r="E272" s="1" t="s">
        <v>888</v>
      </c>
      <c r="F272" s="1" t="s">
        <v>431</v>
      </c>
      <c r="G272" s="1" t="str">
        <f>"13774921004"</f>
        <v>13774921004</v>
      </c>
      <c r="I272" s="1" t="s">
        <v>889</v>
      </c>
      <c r="L272" s="1" t="s">
        <v>41</v>
      </c>
      <c r="AJ272" s="2">
        <v>44964</v>
      </c>
    </row>
    <row r="273" spans="1:36">
      <c r="A273" s="1" t="str">
        <f>"9645667038"</f>
        <v>9645667038</v>
      </c>
      <c r="B273" s="1" t="str">
        <f t="shared" si="4"/>
        <v>02406911202</v>
      </c>
      <c r="C273" s="1" t="s">
        <v>13</v>
      </c>
      <c r="D273" s="1" t="s">
        <v>47</v>
      </c>
      <c r="E273" s="1" t="s">
        <v>888</v>
      </c>
      <c r="F273" s="1" t="s">
        <v>431</v>
      </c>
      <c r="G273" s="1" t="str">
        <f>"03556041006"</f>
        <v>03556041006</v>
      </c>
      <c r="I273" s="1" t="s">
        <v>890</v>
      </c>
      <c r="L273" s="1" t="s">
        <v>41</v>
      </c>
      <c r="AJ273" s="2">
        <v>44964</v>
      </c>
    </row>
    <row r="274" spans="1:36">
      <c r="A274" s="1" t="str">
        <f>"9645667038"</f>
        <v>9645667038</v>
      </c>
      <c r="B274" s="1" t="str">
        <f t="shared" si="4"/>
        <v>02406911202</v>
      </c>
      <c r="C274" s="1" t="s">
        <v>13</v>
      </c>
      <c r="D274" s="1" t="s">
        <v>47</v>
      </c>
      <c r="E274" s="1" t="s">
        <v>888</v>
      </c>
      <c r="F274" s="1" t="s">
        <v>431</v>
      </c>
      <c r="G274" s="1" t="str">
        <f>"02190100582"</f>
        <v>02190100582</v>
      </c>
      <c r="I274" s="1" t="s">
        <v>891</v>
      </c>
      <c r="J274" s="1" t="s">
        <v>892</v>
      </c>
      <c r="K274" s="1" t="s">
        <v>51</v>
      </c>
      <c r="AJ274" s="2">
        <v>44964</v>
      </c>
    </row>
    <row r="275" spans="1:36">
      <c r="A275" s="1" t="str">
        <f>"9645667038"</f>
        <v>9645667038</v>
      </c>
      <c r="B275" s="1" t="str">
        <f t="shared" si="4"/>
        <v>02406911202</v>
      </c>
      <c r="C275" s="1" t="s">
        <v>13</v>
      </c>
      <c r="D275" s="1" t="s">
        <v>47</v>
      </c>
      <c r="E275" s="1" t="s">
        <v>888</v>
      </c>
      <c r="F275" s="1" t="s">
        <v>431</v>
      </c>
      <c r="G275" s="1" t="str">
        <f>"08328350585"</f>
        <v>08328350585</v>
      </c>
      <c r="I275" s="1" t="s">
        <v>893</v>
      </c>
      <c r="J275" s="1" t="s">
        <v>892</v>
      </c>
      <c r="K275" s="1" t="s">
        <v>53</v>
      </c>
      <c r="AJ275" s="2">
        <v>44964</v>
      </c>
    </row>
    <row r="276" spans="1:36">
      <c r="A276" s="1" t="str">
        <f>"9645667038"</f>
        <v>9645667038</v>
      </c>
      <c r="B276" s="1" t="str">
        <f t="shared" si="4"/>
        <v>02406911202</v>
      </c>
      <c r="C276" s="1" t="s">
        <v>13</v>
      </c>
      <c r="D276" s="1" t="s">
        <v>47</v>
      </c>
      <c r="E276" s="1" t="s">
        <v>888</v>
      </c>
      <c r="F276" s="1" t="s">
        <v>431</v>
      </c>
      <c r="I276" s="1" t="s">
        <v>892</v>
      </c>
      <c r="L276" s="1" t="s">
        <v>41</v>
      </c>
      <c r="AJ276" s="2">
        <v>44964</v>
      </c>
    </row>
    <row r="277" spans="1:36">
      <c r="A277" s="1" t="str">
        <f t="shared" ref="A277:A286" si="5">"95957653C8"</f>
        <v>95957653C8</v>
      </c>
      <c r="B277" s="1" t="str">
        <f t="shared" si="4"/>
        <v>02406911202</v>
      </c>
      <c r="C277" s="1" t="s">
        <v>13</v>
      </c>
      <c r="D277" s="1" t="s">
        <v>47</v>
      </c>
      <c r="E277" s="1" t="s">
        <v>894</v>
      </c>
      <c r="F277" s="1" t="s">
        <v>431</v>
      </c>
      <c r="G277" s="1" t="str">
        <f>"03324471204"</f>
        <v>03324471204</v>
      </c>
      <c r="I277" s="1" t="s">
        <v>895</v>
      </c>
      <c r="L277" s="1" t="s">
        <v>44</v>
      </c>
      <c r="M277" s="1" t="s">
        <v>896</v>
      </c>
      <c r="N277" s="1" t="s">
        <v>897</v>
      </c>
      <c r="O277" s="1" t="s">
        <v>898</v>
      </c>
      <c r="P277" s="1" t="s">
        <v>899</v>
      </c>
      <c r="AJ277" s="2">
        <v>44951</v>
      </c>
    </row>
    <row r="278" spans="1:36">
      <c r="A278" s="1" t="str">
        <f t="shared" si="5"/>
        <v>95957653C8</v>
      </c>
      <c r="B278" s="1" t="str">
        <f t="shared" si="4"/>
        <v>02406911202</v>
      </c>
      <c r="C278" s="1" t="s">
        <v>13</v>
      </c>
      <c r="D278" s="1" t="s">
        <v>47</v>
      </c>
      <c r="E278" s="1" t="s">
        <v>894</v>
      </c>
      <c r="F278" s="1" t="s">
        <v>431</v>
      </c>
      <c r="G278" s="1" t="str">
        <f>"08868151211"</f>
        <v>08868151211</v>
      </c>
      <c r="I278" s="1" t="s">
        <v>900</v>
      </c>
      <c r="L278" s="1" t="s">
        <v>41</v>
      </c>
      <c r="AJ278" s="2">
        <v>44951</v>
      </c>
    </row>
    <row r="279" spans="1:36">
      <c r="A279" s="1" t="str">
        <f t="shared" si="5"/>
        <v>95957653C8</v>
      </c>
      <c r="B279" s="1" t="str">
        <f t="shared" si="4"/>
        <v>02406911202</v>
      </c>
      <c r="C279" s="1" t="s">
        <v>13</v>
      </c>
      <c r="D279" s="1" t="s">
        <v>47</v>
      </c>
      <c r="E279" s="1" t="s">
        <v>894</v>
      </c>
      <c r="F279" s="1" t="s">
        <v>431</v>
      </c>
      <c r="G279" s="1" t="str">
        <f>"05845600872"</f>
        <v>05845600872</v>
      </c>
      <c r="I279" s="1" t="s">
        <v>901</v>
      </c>
      <c r="L279" s="1" t="s">
        <v>41</v>
      </c>
      <c r="AJ279" s="2">
        <v>44951</v>
      </c>
    </row>
    <row r="280" spans="1:36">
      <c r="A280" s="1" t="str">
        <f t="shared" si="5"/>
        <v>95957653C8</v>
      </c>
      <c r="B280" s="1" t="str">
        <f t="shared" si="4"/>
        <v>02406911202</v>
      </c>
      <c r="C280" s="1" t="s">
        <v>13</v>
      </c>
      <c r="D280" s="1" t="s">
        <v>47</v>
      </c>
      <c r="E280" s="1" t="s">
        <v>894</v>
      </c>
      <c r="F280" s="1" t="s">
        <v>431</v>
      </c>
      <c r="G280" s="1" t="str">
        <f>"12319251000"</f>
        <v>12319251000</v>
      </c>
      <c r="I280" s="1" t="s">
        <v>902</v>
      </c>
      <c r="L280" s="1" t="s">
        <v>41</v>
      </c>
      <c r="AJ280" s="2">
        <v>44951</v>
      </c>
    </row>
    <row r="281" spans="1:36">
      <c r="A281" s="1" t="str">
        <f t="shared" si="5"/>
        <v>95957653C8</v>
      </c>
      <c r="B281" s="1" t="str">
        <f t="shared" si="4"/>
        <v>02406911202</v>
      </c>
      <c r="C281" s="1" t="s">
        <v>13</v>
      </c>
      <c r="D281" s="1" t="s">
        <v>47</v>
      </c>
      <c r="E281" s="1" t="s">
        <v>894</v>
      </c>
      <c r="F281" s="1" t="s">
        <v>431</v>
      </c>
      <c r="G281" s="1" t="str">
        <f>"06723500010"</f>
        <v>06723500010</v>
      </c>
      <c r="I281" s="1" t="s">
        <v>903</v>
      </c>
      <c r="L281" s="1" t="s">
        <v>41</v>
      </c>
      <c r="AJ281" s="2">
        <v>44951</v>
      </c>
    </row>
    <row r="282" spans="1:36">
      <c r="A282" s="1" t="str">
        <f t="shared" si="5"/>
        <v>95957653C8</v>
      </c>
      <c r="B282" s="1" t="str">
        <f t="shared" si="4"/>
        <v>02406911202</v>
      </c>
      <c r="C282" s="1" t="s">
        <v>13</v>
      </c>
      <c r="D282" s="1" t="s">
        <v>47</v>
      </c>
      <c r="E282" s="1" t="s">
        <v>894</v>
      </c>
      <c r="F282" s="1" t="s">
        <v>431</v>
      </c>
      <c r="G282" s="1" t="str">
        <f>"03885341200"</f>
        <v>03885341200</v>
      </c>
      <c r="I282" s="1" t="s">
        <v>904</v>
      </c>
      <c r="L282" s="1" t="s">
        <v>41</v>
      </c>
      <c r="AJ282" s="2">
        <v>44951</v>
      </c>
    </row>
    <row r="283" spans="1:36">
      <c r="A283" s="1" t="str">
        <f t="shared" si="5"/>
        <v>95957653C8</v>
      </c>
      <c r="B283" s="1" t="str">
        <f t="shared" si="4"/>
        <v>02406911202</v>
      </c>
      <c r="C283" s="1" t="s">
        <v>13</v>
      </c>
      <c r="D283" s="1" t="s">
        <v>47</v>
      </c>
      <c r="E283" s="1" t="s">
        <v>894</v>
      </c>
      <c r="F283" s="1" t="s">
        <v>431</v>
      </c>
      <c r="G283" s="1" t="str">
        <f>"04991071485"</f>
        <v>04991071485</v>
      </c>
      <c r="I283" s="1" t="s">
        <v>905</v>
      </c>
      <c r="L283" s="1" t="s">
        <v>41</v>
      </c>
      <c r="AJ283" s="2">
        <v>44951</v>
      </c>
    </row>
    <row r="284" spans="1:36">
      <c r="A284" s="1" t="str">
        <f t="shared" si="5"/>
        <v>95957653C8</v>
      </c>
      <c r="B284" s="1" t="str">
        <f t="shared" si="4"/>
        <v>02406911202</v>
      </c>
      <c r="C284" s="1" t="s">
        <v>13</v>
      </c>
      <c r="D284" s="1" t="s">
        <v>47</v>
      </c>
      <c r="E284" s="1" t="s">
        <v>894</v>
      </c>
      <c r="F284" s="1" t="s">
        <v>431</v>
      </c>
      <c r="G284" s="1" t="str">
        <f>"00386880504"</f>
        <v>00386880504</v>
      </c>
      <c r="I284" s="1" t="s">
        <v>906</v>
      </c>
      <c r="J284" s="1" t="s">
        <v>907</v>
      </c>
      <c r="K284" s="1" t="s">
        <v>51</v>
      </c>
      <c r="AJ284" s="2">
        <v>44951</v>
      </c>
    </row>
    <row r="285" spans="1:36">
      <c r="A285" s="1" t="str">
        <f t="shared" si="5"/>
        <v>95957653C8</v>
      </c>
      <c r="B285" s="1" t="str">
        <f t="shared" si="4"/>
        <v>02406911202</v>
      </c>
      <c r="C285" s="1" t="s">
        <v>13</v>
      </c>
      <c r="D285" s="1" t="s">
        <v>47</v>
      </c>
      <c r="E285" s="1" t="s">
        <v>894</v>
      </c>
      <c r="F285" s="1" t="s">
        <v>431</v>
      </c>
      <c r="G285" s="1" t="str">
        <f>"02205800507"</f>
        <v>02205800507</v>
      </c>
      <c r="I285" s="1" t="s">
        <v>908</v>
      </c>
      <c r="J285" s="1" t="s">
        <v>907</v>
      </c>
      <c r="K285" s="1" t="s">
        <v>53</v>
      </c>
      <c r="AJ285" s="2">
        <v>44951</v>
      </c>
    </row>
    <row r="286" spans="1:36">
      <c r="A286" s="1" t="str">
        <f t="shared" si="5"/>
        <v>95957653C8</v>
      </c>
      <c r="B286" s="1" t="str">
        <f t="shared" si="4"/>
        <v>02406911202</v>
      </c>
      <c r="C286" s="1" t="s">
        <v>13</v>
      </c>
      <c r="D286" s="1" t="s">
        <v>47</v>
      </c>
      <c r="E286" s="1" t="s">
        <v>894</v>
      </c>
      <c r="F286" s="1" t="s">
        <v>431</v>
      </c>
      <c r="I286" s="1" t="s">
        <v>907</v>
      </c>
      <c r="L286" s="1" t="s">
        <v>41</v>
      </c>
      <c r="AJ286" s="2">
        <v>44951</v>
      </c>
    </row>
    <row r="287" spans="1:36">
      <c r="A287" s="1" t="str">
        <f>"9629220BB6"</f>
        <v>9629220BB6</v>
      </c>
      <c r="B287" s="1" t="str">
        <f t="shared" si="4"/>
        <v>02406911202</v>
      </c>
      <c r="C287" s="1" t="s">
        <v>13</v>
      </c>
      <c r="D287" s="1" t="s">
        <v>47</v>
      </c>
      <c r="E287" s="1" t="s">
        <v>909</v>
      </c>
      <c r="F287" s="1" t="s">
        <v>39</v>
      </c>
      <c r="G287" s="1" t="str">
        <f>"00803890151"</f>
        <v>00803890151</v>
      </c>
      <c r="I287" s="1" t="s">
        <v>68</v>
      </c>
      <c r="L287" s="1" t="s">
        <v>44</v>
      </c>
      <c r="M287" s="1" t="s">
        <v>910</v>
      </c>
      <c r="N287" s="1" t="s">
        <v>911</v>
      </c>
      <c r="O287" s="1" t="s">
        <v>744</v>
      </c>
      <c r="Q287" s="1" t="s">
        <v>912</v>
      </c>
      <c r="R287" s="1" t="s">
        <v>913</v>
      </c>
      <c r="S287" s="1" t="s">
        <v>914</v>
      </c>
      <c r="AJ287" s="2">
        <v>44956</v>
      </c>
    </row>
    <row r="288" spans="1:36">
      <c r="A288" s="1" t="str">
        <f>"9629242DDD"</f>
        <v>9629242DDD</v>
      </c>
      <c r="B288" s="1" t="str">
        <f t="shared" si="4"/>
        <v>02406911202</v>
      </c>
      <c r="C288" s="1" t="s">
        <v>13</v>
      </c>
      <c r="D288" s="1" t="s">
        <v>47</v>
      </c>
      <c r="E288" s="1" t="s">
        <v>909</v>
      </c>
      <c r="F288" s="1" t="s">
        <v>39</v>
      </c>
      <c r="G288" s="1" t="str">
        <f>"00674840152"</f>
        <v>00674840152</v>
      </c>
      <c r="I288" s="1" t="s">
        <v>190</v>
      </c>
      <c r="L288" s="1" t="s">
        <v>44</v>
      </c>
      <c r="M288" s="1" t="s">
        <v>915</v>
      </c>
      <c r="N288" s="1" t="s">
        <v>916</v>
      </c>
      <c r="O288" s="1" t="s">
        <v>917</v>
      </c>
      <c r="Q288" s="1" t="s">
        <v>200</v>
      </c>
      <c r="R288" s="1" t="s">
        <v>918</v>
      </c>
      <c r="S288" s="1" t="s">
        <v>919</v>
      </c>
      <c r="AJ288" s="2">
        <v>44956</v>
      </c>
    </row>
    <row r="289" spans="1:36">
      <c r="A289" s="1" t="str">
        <f>"962927591A"</f>
        <v>962927591A</v>
      </c>
      <c r="B289" s="1" t="str">
        <f t="shared" si="4"/>
        <v>02406911202</v>
      </c>
      <c r="C289" s="1" t="s">
        <v>13</v>
      </c>
      <c r="D289" s="1" t="s">
        <v>47</v>
      </c>
      <c r="E289" s="1" t="s">
        <v>909</v>
      </c>
      <c r="F289" s="1" t="s">
        <v>39</v>
      </c>
      <c r="G289" s="1" t="str">
        <f>"03597020373"</f>
        <v>03597020373</v>
      </c>
      <c r="I289" s="1" t="s">
        <v>920</v>
      </c>
      <c r="L289" s="1" t="s">
        <v>44</v>
      </c>
      <c r="M289" s="1" t="s">
        <v>921</v>
      </c>
      <c r="N289" s="1" t="s">
        <v>922</v>
      </c>
      <c r="O289" s="1" t="s">
        <v>923</v>
      </c>
      <c r="P289" s="1" t="s">
        <v>924</v>
      </c>
      <c r="Q289" s="1" t="s">
        <v>925</v>
      </c>
      <c r="R289" s="1" t="s">
        <v>926</v>
      </c>
      <c r="S289" s="1" t="s">
        <v>927</v>
      </c>
      <c r="AJ289" s="2">
        <v>44956</v>
      </c>
    </row>
    <row r="290" spans="1:36">
      <c r="A290" s="1" t="str">
        <f>"96293116D0"</f>
        <v>96293116D0</v>
      </c>
      <c r="B290" s="1" t="str">
        <f t="shared" si="4"/>
        <v>02406911202</v>
      </c>
      <c r="C290" s="1" t="s">
        <v>13</v>
      </c>
      <c r="D290" s="1" t="s">
        <v>47</v>
      </c>
      <c r="E290" s="1" t="s">
        <v>909</v>
      </c>
      <c r="F290" s="1" t="s">
        <v>39</v>
      </c>
      <c r="G290" s="1" t="str">
        <f>"02154270595"</f>
        <v>02154270595</v>
      </c>
      <c r="I290" s="1" t="s">
        <v>928</v>
      </c>
      <c r="L290" s="1" t="s">
        <v>44</v>
      </c>
      <c r="M290" s="1" t="s">
        <v>929</v>
      </c>
      <c r="N290" s="1" t="s">
        <v>930</v>
      </c>
      <c r="O290" s="1" t="s">
        <v>153</v>
      </c>
      <c r="P290" s="1" t="s">
        <v>931</v>
      </c>
      <c r="Q290" s="1" t="s">
        <v>932</v>
      </c>
      <c r="R290" s="1" t="s">
        <v>933</v>
      </c>
      <c r="AJ290" s="2">
        <v>44956</v>
      </c>
    </row>
    <row r="291" spans="1:36">
      <c r="A291" s="1" t="str">
        <f>"96293349CA"</f>
        <v>96293349CA</v>
      </c>
      <c r="B291" s="1" t="str">
        <f t="shared" si="4"/>
        <v>02406911202</v>
      </c>
      <c r="C291" s="1" t="s">
        <v>13</v>
      </c>
      <c r="D291" s="1" t="s">
        <v>47</v>
      </c>
      <c r="E291" s="1" t="s">
        <v>909</v>
      </c>
      <c r="F291" s="1" t="s">
        <v>39</v>
      </c>
      <c r="G291" s="1" t="str">
        <f>"06324460150"</f>
        <v>06324460150</v>
      </c>
      <c r="I291" s="1" t="s">
        <v>197</v>
      </c>
      <c r="L291" s="1" t="s">
        <v>44</v>
      </c>
      <c r="M291" s="1" t="s">
        <v>934</v>
      </c>
      <c r="N291" s="1" t="s">
        <v>935</v>
      </c>
      <c r="O291" s="1" t="s">
        <v>936</v>
      </c>
      <c r="P291" s="1" t="s">
        <v>937</v>
      </c>
      <c r="Q291" s="1" t="s">
        <v>938</v>
      </c>
      <c r="R291" s="1" t="s">
        <v>939</v>
      </c>
      <c r="S291" s="1" t="s">
        <v>662</v>
      </c>
      <c r="AJ291" s="2">
        <v>44956</v>
      </c>
    </row>
    <row r="292" spans="1:36">
      <c r="A292" s="1" t="str">
        <f>"9629354A4B"</f>
        <v>9629354A4B</v>
      </c>
      <c r="B292" s="1" t="str">
        <f t="shared" si="4"/>
        <v>02406911202</v>
      </c>
      <c r="C292" s="1" t="s">
        <v>13</v>
      </c>
      <c r="D292" s="1" t="s">
        <v>47</v>
      </c>
      <c r="E292" s="1" t="s">
        <v>909</v>
      </c>
      <c r="F292" s="1" t="s">
        <v>39</v>
      </c>
      <c r="G292" s="1" t="str">
        <f>"01681100150"</f>
        <v>01681100150</v>
      </c>
      <c r="I292" s="1" t="s">
        <v>92</v>
      </c>
      <c r="L292" s="1" t="s">
        <v>44</v>
      </c>
      <c r="M292" s="1" t="s">
        <v>940</v>
      </c>
      <c r="N292" s="1" t="s">
        <v>638</v>
      </c>
      <c r="O292" s="1" t="s">
        <v>744</v>
      </c>
      <c r="P292" s="1" t="s">
        <v>941</v>
      </c>
      <c r="Q292" s="1" t="s">
        <v>942</v>
      </c>
      <c r="R292" s="1" t="s">
        <v>943</v>
      </c>
      <c r="S292" s="1" t="s">
        <v>944</v>
      </c>
      <c r="AJ292" s="2">
        <v>44956</v>
      </c>
    </row>
    <row r="293" spans="1:36">
      <c r="A293" s="1" t="str">
        <f>"9629371853"</f>
        <v>9629371853</v>
      </c>
      <c r="B293" s="1" t="str">
        <f t="shared" si="4"/>
        <v>02406911202</v>
      </c>
      <c r="C293" s="1" t="s">
        <v>13</v>
      </c>
      <c r="D293" s="1" t="s">
        <v>47</v>
      </c>
      <c r="E293" s="1" t="s">
        <v>909</v>
      </c>
      <c r="F293" s="1" t="s">
        <v>39</v>
      </c>
      <c r="G293" s="1" t="str">
        <f>"02173550282"</f>
        <v>02173550282</v>
      </c>
      <c r="I293" s="1" t="s">
        <v>634</v>
      </c>
      <c r="L293" s="1" t="s">
        <v>44</v>
      </c>
      <c r="M293" s="1" t="s">
        <v>945</v>
      </c>
      <c r="N293" s="1" t="s">
        <v>946</v>
      </c>
      <c r="O293" s="1" t="s">
        <v>947</v>
      </c>
      <c r="Q293" s="1" t="s">
        <v>932</v>
      </c>
      <c r="R293" s="1" t="s">
        <v>948</v>
      </c>
      <c r="S293" s="1" t="s">
        <v>949</v>
      </c>
      <c r="AJ293" s="2">
        <v>44956</v>
      </c>
    </row>
    <row r="294" spans="1:36">
      <c r="A294" s="1" t="str">
        <f>"97314441A3"</f>
        <v>97314441A3</v>
      </c>
      <c r="B294" s="1" t="str">
        <f t="shared" si="4"/>
        <v>02406911202</v>
      </c>
      <c r="C294" s="1" t="s">
        <v>13</v>
      </c>
      <c r="D294" s="1" t="s">
        <v>47</v>
      </c>
      <c r="E294" s="1" t="s">
        <v>950</v>
      </c>
      <c r="F294" s="1" t="s">
        <v>431</v>
      </c>
      <c r="G294" s="1" t="str">
        <f>"91155450371"</f>
        <v>91155450371</v>
      </c>
      <c r="I294" s="1" t="s">
        <v>951</v>
      </c>
      <c r="L294" s="1" t="s">
        <v>44</v>
      </c>
      <c r="M294" s="1" t="s">
        <v>952</v>
      </c>
      <c r="O294" s="1" t="s">
        <v>952</v>
      </c>
      <c r="AJ294" s="2">
        <v>45008</v>
      </c>
    </row>
    <row r="295" spans="1:36">
      <c r="A295" s="1" t="str">
        <f>"980529623C"</f>
        <v>980529623C</v>
      </c>
      <c r="B295" s="1" t="str">
        <f t="shared" si="4"/>
        <v>02406911202</v>
      </c>
      <c r="C295" s="1" t="s">
        <v>13</v>
      </c>
      <c r="D295" s="1" t="s">
        <v>47</v>
      </c>
      <c r="E295" s="1" t="s">
        <v>953</v>
      </c>
      <c r="F295" s="1" t="s">
        <v>431</v>
      </c>
      <c r="G295" s="1" t="str">
        <f>"03893361000"</f>
        <v>03893361000</v>
      </c>
      <c r="I295" s="1" t="s">
        <v>637</v>
      </c>
      <c r="L295" s="1" t="s">
        <v>44</v>
      </c>
      <c r="M295" s="1" t="s">
        <v>954</v>
      </c>
      <c r="O295" s="1" t="s">
        <v>954</v>
      </c>
      <c r="AJ295" s="2">
        <v>45055</v>
      </c>
    </row>
    <row r="296" spans="1:36">
      <c r="A296" s="1" t="str">
        <f>"971490620C"</f>
        <v>971490620C</v>
      </c>
      <c r="B296" s="1" t="str">
        <f t="shared" si="4"/>
        <v>02406911202</v>
      </c>
      <c r="C296" s="1" t="s">
        <v>13</v>
      </c>
      <c r="D296" s="1" t="s">
        <v>47</v>
      </c>
      <c r="E296" s="1" t="s">
        <v>955</v>
      </c>
      <c r="F296" s="1" t="s">
        <v>431</v>
      </c>
      <c r="G296" s="1" t="str">
        <f>"03071411205"</f>
        <v>03071411205</v>
      </c>
      <c r="I296" s="1" t="s">
        <v>559</v>
      </c>
      <c r="L296" s="1" t="s">
        <v>41</v>
      </c>
      <c r="AJ296" s="2">
        <v>45000</v>
      </c>
    </row>
    <row r="297" spans="1:36">
      <c r="A297" s="1" t="str">
        <f>"971490620C"</f>
        <v>971490620C</v>
      </c>
      <c r="B297" s="1" t="str">
        <f t="shared" si="4"/>
        <v>02406911202</v>
      </c>
      <c r="C297" s="1" t="s">
        <v>13</v>
      </c>
      <c r="D297" s="1" t="s">
        <v>47</v>
      </c>
      <c r="E297" s="1" t="s">
        <v>955</v>
      </c>
      <c r="F297" s="1" t="s">
        <v>431</v>
      </c>
      <c r="G297" s="1" t="str">
        <f>"01835220482"</f>
        <v>01835220482</v>
      </c>
      <c r="I297" s="1" t="s">
        <v>412</v>
      </c>
      <c r="L297" s="1" t="s">
        <v>41</v>
      </c>
      <c r="AJ297" s="2">
        <v>45000</v>
      </c>
    </row>
    <row r="298" spans="1:36">
      <c r="A298" s="1" t="str">
        <f>"9714997D21"</f>
        <v>9714997D21</v>
      </c>
      <c r="B298" s="1" t="str">
        <f t="shared" si="4"/>
        <v>02406911202</v>
      </c>
      <c r="C298" s="1" t="s">
        <v>13</v>
      </c>
      <c r="D298" s="1" t="s">
        <v>47</v>
      </c>
      <c r="E298" s="1" t="s">
        <v>956</v>
      </c>
      <c r="F298" s="1" t="s">
        <v>431</v>
      </c>
      <c r="G298" s="1" t="str">
        <f>"00674840152"</f>
        <v>00674840152</v>
      </c>
      <c r="I298" s="1" t="s">
        <v>190</v>
      </c>
      <c r="L298" s="1" t="s">
        <v>41</v>
      </c>
      <c r="AJ298" s="2">
        <v>45000</v>
      </c>
    </row>
    <row r="299" spans="1:36">
      <c r="A299" s="1" t="str">
        <f>"9714997D21"</f>
        <v>9714997D21</v>
      </c>
      <c r="B299" s="1" t="str">
        <f t="shared" si="4"/>
        <v>02406911202</v>
      </c>
      <c r="C299" s="1" t="s">
        <v>13</v>
      </c>
      <c r="D299" s="1" t="s">
        <v>47</v>
      </c>
      <c r="E299" s="1" t="s">
        <v>956</v>
      </c>
      <c r="F299" s="1" t="s">
        <v>431</v>
      </c>
      <c r="G299" s="1" t="str">
        <f>"01835220482"</f>
        <v>01835220482</v>
      </c>
      <c r="I299" s="1" t="s">
        <v>412</v>
      </c>
      <c r="L299" s="1" t="s">
        <v>41</v>
      </c>
      <c r="AJ299" s="2">
        <v>45000</v>
      </c>
    </row>
    <row r="300" spans="1:36">
      <c r="A300" s="1" t="str">
        <f>"9721958D87"</f>
        <v>9721958D87</v>
      </c>
      <c r="B300" s="1" t="str">
        <f t="shared" si="4"/>
        <v>02406911202</v>
      </c>
      <c r="C300" s="1" t="s">
        <v>13</v>
      </c>
      <c r="D300" s="1" t="s">
        <v>47</v>
      </c>
      <c r="E300" s="1" t="s">
        <v>957</v>
      </c>
      <c r="F300" s="1" t="s">
        <v>431</v>
      </c>
      <c r="G300" s="1" t="str">
        <f>"11206730159"</f>
        <v>11206730159</v>
      </c>
      <c r="I300" s="1" t="s">
        <v>192</v>
      </c>
      <c r="L300" s="1" t="s">
        <v>41</v>
      </c>
      <c r="AJ300" s="2">
        <v>45000</v>
      </c>
    </row>
    <row r="301" spans="1:36">
      <c r="A301" s="1" t="str">
        <f>"9721958D87"</f>
        <v>9721958D87</v>
      </c>
      <c r="B301" s="1" t="str">
        <f t="shared" si="4"/>
        <v>02406911202</v>
      </c>
      <c r="C301" s="1" t="s">
        <v>13</v>
      </c>
      <c r="D301" s="1" t="s">
        <v>47</v>
      </c>
      <c r="E301" s="1" t="s">
        <v>957</v>
      </c>
      <c r="F301" s="1" t="s">
        <v>431</v>
      </c>
      <c r="G301" s="1" t="str">
        <f>"01835220482"</f>
        <v>01835220482</v>
      </c>
      <c r="I301" s="1" t="s">
        <v>412</v>
      </c>
      <c r="L301" s="1" t="s">
        <v>41</v>
      </c>
      <c r="AJ301" s="2">
        <v>45000</v>
      </c>
    </row>
    <row r="302" spans="1:36">
      <c r="A302" s="1" t="str">
        <f>"9721958D87"</f>
        <v>9721958D87</v>
      </c>
      <c r="B302" s="1" t="str">
        <f t="shared" si="4"/>
        <v>02406911202</v>
      </c>
      <c r="C302" s="1" t="s">
        <v>13</v>
      </c>
      <c r="D302" s="1" t="s">
        <v>47</v>
      </c>
      <c r="E302" s="1" t="s">
        <v>957</v>
      </c>
      <c r="F302" s="1" t="s">
        <v>431</v>
      </c>
      <c r="G302" s="1" t="str">
        <f>"08082461008"</f>
        <v>08082461008</v>
      </c>
      <c r="I302" s="1" t="s">
        <v>423</v>
      </c>
      <c r="L302" s="1" t="s">
        <v>41</v>
      </c>
      <c r="AJ302" s="2">
        <v>45000</v>
      </c>
    </row>
    <row r="303" spans="1:36">
      <c r="A303" s="1" t="str">
        <f>"9721958D87"</f>
        <v>9721958D87</v>
      </c>
      <c r="B303" s="1" t="str">
        <f t="shared" si="4"/>
        <v>02406911202</v>
      </c>
      <c r="C303" s="1" t="s">
        <v>13</v>
      </c>
      <c r="D303" s="1" t="s">
        <v>47</v>
      </c>
      <c r="E303" s="1" t="s">
        <v>957</v>
      </c>
      <c r="F303" s="1" t="s">
        <v>431</v>
      </c>
      <c r="G303" s="1" t="str">
        <f>"03071411205"</f>
        <v>03071411205</v>
      </c>
      <c r="I303" s="1" t="s">
        <v>559</v>
      </c>
      <c r="L303" s="1" t="s">
        <v>41</v>
      </c>
      <c r="AJ303" s="2">
        <v>45000</v>
      </c>
    </row>
    <row r="304" spans="1:36">
      <c r="A304" s="1" t="str">
        <f>"972196969D"</f>
        <v>972196969D</v>
      </c>
      <c r="B304" s="1" t="str">
        <f t="shared" si="4"/>
        <v>02406911202</v>
      </c>
      <c r="C304" s="1" t="s">
        <v>13</v>
      </c>
      <c r="D304" s="1" t="s">
        <v>47</v>
      </c>
      <c r="E304" s="1" t="s">
        <v>958</v>
      </c>
      <c r="F304" s="1" t="s">
        <v>431</v>
      </c>
      <c r="G304" s="1" t="str">
        <f>"11206730159"</f>
        <v>11206730159</v>
      </c>
      <c r="I304" s="1" t="s">
        <v>192</v>
      </c>
      <c r="L304" s="1" t="s">
        <v>41</v>
      </c>
      <c r="AJ304" s="2">
        <v>45000</v>
      </c>
    </row>
    <row r="305" spans="1:36">
      <c r="A305" s="1" t="str">
        <f>"972196969D"</f>
        <v>972196969D</v>
      </c>
      <c r="B305" s="1" t="str">
        <f t="shared" si="4"/>
        <v>02406911202</v>
      </c>
      <c r="C305" s="1" t="s">
        <v>13</v>
      </c>
      <c r="D305" s="1" t="s">
        <v>47</v>
      </c>
      <c r="E305" s="1" t="s">
        <v>958</v>
      </c>
      <c r="F305" s="1" t="s">
        <v>431</v>
      </c>
      <c r="G305" s="1" t="str">
        <f>"08082461008"</f>
        <v>08082461008</v>
      </c>
      <c r="I305" s="1" t="s">
        <v>423</v>
      </c>
      <c r="L305" s="1" t="s">
        <v>41</v>
      </c>
      <c r="AJ305" s="2">
        <v>45000</v>
      </c>
    </row>
    <row r="306" spans="1:36">
      <c r="A306" s="1" t="str">
        <f>"972196969D"</f>
        <v>972196969D</v>
      </c>
      <c r="B306" s="1" t="str">
        <f t="shared" si="4"/>
        <v>02406911202</v>
      </c>
      <c r="C306" s="1" t="s">
        <v>13</v>
      </c>
      <c r="D306" s="1" t="s">
        <v>47</v>
      </c>
      <c r="E306" s="1" t="s">
        <v>958</v>
      </c>
      <c r="F306" s="1" t="s">
        <v>431</v>
      </c>
      <c r="G306" s="1" t="str">
        <f>"03071411205"</f>
        <v>03071411205</v>
      </c>
      <c r="I306" s="1" t="s">
        <v>559</v>
      </c>
      <c r="L306" s="1" t="s">
        <v>41</v>
      </c>
      <c r="AJ306" s="2">
        <v>45000</v>
      </c>
    </row>
    <row r="307" spans="1:36">
      <c r="A307" s="1" t="str">
        <f>"972196969D"</f>
        <v>972196969D</v>
      </c>
      <c r="B307" s="1" t="str">
        <f t="shared" si="4"/>
        <v>02406911202</v>
      </c>
      <c r="C307" s="1" t="s">
        <v>13</v>
      </c>
      <c r="D307" s="1" t="s">
        <v>47</v>
      </c>
      <c r="E307" s="1" t="s">
        <v>958</v>
      </c>
      <c r="F307" s="1" t="s">
        <v>431</v>
      </c>
      <c r="G307" s="1" t="str">
        <f>"02654900022"</f>
        <v>02654900022</v>
      </c>
      <c r="I307" s="1" t="s">
        <v>531</v>
      </c>
      <c r="L307" s="1" t="s">
        <v>41</v>
      </c>
      <c r="AJ307" s="2">
        <v>45000</v>
      </c>
    </row>
    <row r="308" spans="1:36">
      <c r="A308" s="1" t="str">
        <f>"9721970770"</f>
        <v>9721970770</v>
      </c>
      <c r="B308" s="1" t="str">
        <f t="shared" si="4"/>
        <v>02406911202</v>
      </c>
      <c r="C308" s="1" t="s">
        <v>13</v>
      </c>
      <c r="D308" s="1" t="s">
        <v>47</v>
      </c>
      <c r="E308" s="1" t="s">
        <v>959</v>
      </c>
      <c r="F308" s="1" t="s">
        <v>431</v>
      </c>
      <c r="G308" s="1" t="str">
        <f>"11264670156"</f>
        <v>11264670156</v>
      </c>
      <c r="I308" s="1" t="s">
        <v>64</v>
      </c>
      <c r="L308" s="1" t="s">
        <v>41</v>
      </c>
      <c r="AJ308" s="2">
        <v>45000</v>
      </c>
    </row>
    <row r="309" spans="1:36">
      <c r="A309" s="1" t="str">
        <f>"9721970770"</f>
        <v>9721970770</v>
      </c>
      <c r="B309" s="1" t="str">
        <f t="shared" si="4"/>
        <v>02406911202</v>
      </c>
      <c r="C309" s="1" t="s">
        <v>13</v>
      </c>
      <c r="D309" s="1" t="s">
        <v>47</v>
      </c>
      <c r="E309" s="1" t="s">
        <v>959</v>
      </c>
      <c r="F309" s="1" t="s">
        <v>431</v>
      </c>
      <c r="G309" s="1" t="str">
        <f>"11206730159"</f>
        <v>11206730159</v>
      </c>
      <c r="I309" s="1" t="s">
        <v>192</v>
      </c>
      <c r="L309" s="1" t="s">
        <v>41</v>
      </c>
      <c r="AJ309" s="2">
        <v>45000</v>
      </c>
    </row>
    <row r="310" spans="1:36">
      <c r="A310" s="1" t="str">
        <f>"9721970770"</f>
        <v>9721970770</v>
      </c>
      <c r="B310" s="1" t="str">
        <f t="shared" si="4"/>
        <v>02406911202</v>
      </c>
      <c r="C310" s="1" t="s">
        <v>13</v>
      </c>
      <c r="D310" s="1" t="s">
        <v>47</v>
      </c>
      <c r="E310" s="1" t="s">
        <v>959</v>
      </c>
      <c r="F310" s="1" t="s">
        <v>431</v>
      </c>
      <c r="G310" s="1" t="str">
        <f>"08082461008"</f>
        <v>08082461008</v>
      </c>
      <c r="I310" s="1" t="s">
        <v>423</v>
      </c>
      <c r="L310" s="1" t="s">
        <v>41</v>
      </c>
      <c r="AJ310" s="2">
        <v>45000</v>
      </c>
    </row>
    <row r="311" spans="1:36">
      <c r="A311" s="1" t="str">
        <f>"9721970770"</f>
        <v>9721970770</v>
      </c>
      <c r="B311" s="1" t="str">
        <f t="shared" si="4"/>
        <v>02406911202</v>
      </c>
      <c r="C311" s="1" t="s">
        <v>13</v>
      </c>
      <c r="D311" s="1" t="s">
        <v>47</v>
      </c>
      <c r="E311" s="1" t="s">
        <v>959</v>
      </c>
      <c r="F311" s="1" t="s">
        <v>431</v>
      </c>
      <c r="G311" s="1" t="str">
        <f>"03071411205"</f>
        <v>03071411205</v>
      </c>
      <c r="I311" s="1" t="s">
        <v>559</v>
      </c>
      <c r="L311" s="1" t="s">
        <v>41</v>
      </c>
      <c r="AJ311" s="2">
        <v>45000</v>
      </c>
    </row>
    <row r="312" spans="1:36">
      <c r="A312" s="1" t="str">
        <f>"9721970770"</f>
        <v>9721970770</v>
      </c>
      <c r="B312" s="1" t="str">
        <f t="shared" si="4"/>
        <v>02406911202</v>
      </c>
      <c r="C312" s="1" t="s">
        <v>13</v>
      </c>
      <c r="D312" s="1" t="s">
        <v>47</v>
      </c>
      <c r="E312" s="1" t="s">
        <v>959</v>
      </c>
      <c r="F312" s="1" t="s">
        <v>431</v>
      </c>
      <c r="G312" s="1" t="str">
        <f>"02654900022"</f>
        <v>02654900022</v>
      </c>
      <c r="I312" s="1" t="s">
        <v>531</v>
      </c>
      <c r="L312" s="1" t="s">
        <v>41</v>
      </c>
      <c r="AJ312" s="2">
        <v>45000</v>
      </c>
    </row>
    <row r="313" spans="1:36">
      <c r="A313" s="1" t="str">
        <f>"9721971843"</f>
        <v>9721971843</v>
      </c>
      <c r="B313" s="1" t="str">
        <f t="shared" si="4"/>
        <v>02406911202</v>
      </c>
      <c r="C313" s="1" t="s">
        <v>13</v>
      </c>
      <c r="D313" s="1" t="s">
        <v>47</v>
      </c>
      <c r="E313" s="1" t="s">
        <v>960</v>
      </c>
      <c r="F313" s="1" t="s">
        <v>431</v>
      </c>
      <c r="G313" s="1" t="str">
        <f>"08082461008"</f>
        <v>08082461008</v>
      </c>
      <c r="I313" s="1" t="s">
        <v>423</v>
      </c>
      <c r="L313" s="1" t="s">
        <v>41</v>
      </c>
      <c r="AJ313" s="2">
        <v>45000</v>
      </c>
    </row>
    <row r="314" spans="1:36">
      <c r="A314" s="1" t="str">
        <f>"9721971843"</f>
        <v>9721971843</v>
      </c>
      <c r="B314" s="1" t="str">
        <f t="shared" si="4"/>
        <v>02406911202</v>
      </c>
      <c r="C314" s="1" t="s">
        <v>13</v>
      </c>
      <c r="D314" s="1" t="s">
        <v>47</v>
      </c>
      <c r="E314" s="1" t="s">
        <v>960</v>
      </c>
      <c r="F314" s="1" t="s">
        <v>431</v>
      </c>
      <c r="G314" s="1" t="str">
        <f>"03071411205"</f>
        <v>03071411205</v>
      </c>
      <c r="I314" s="1" t="s">
        <v>559</v>
      </c>
      <c r="L314" s="1" t="s">
        <v>41</v>
      </c>
      <c r="AJ314" s="2">
        <v>45000</v>
      </c>
    </row>
    <row r="315" spans="1:36">
      <c r="A315" s="1" t="str">
        <f>"9721972916"</f>
        <v>9721972916</v>
      </c>
      <c r="B315" s="1" t="str">
        <f t="shared" si="4"/>
        <v>02406911202</v>
      </c>
      <c r="C315" s="1" t="s">
        <v>13</v>
      </c>
      <c r="D315" s="1" t="s">
        <v>47</v>
      </c>
      <c r="E315" s="1" t="s">
        <v>961</v>
      </c>
      <c r="F315" s="1" t="s">
        <v>431</v>
      </c>
      <c r="G315" s="1" t="str">
        <f>"11264670156"</f>
        <v>11264670156</v>
      </c>
      <c r="I315" s="1" t="s">
        <v>64</v>
      </c>
      <c r="L315" s="1" t="s">
        <v>41</v>
      </c>
      <c r="AJ315" s="2">
        <v>45000</v>
      </c>
    </row>
    <row r="316" spans="1:36">
      <c r="A316" s="1" t="str">
        <f>"9721972916"</f>
        <v>9721972916</v>
      </c>
      <c r="B316" s="1" t="str">
        <f t="shared" si="4"/>
        <v>02406911202</v>
      </c>
      <c r="C316" s="1" t="s">
        <v>13</v>
      </c>
      <c r="D316" s="1" t="s">
        <v>47</v>
      </c>
      <c r="E316" s="1" t="s">
        <v>961</v>
      </c>
      <c r="F316" s="1" t="s">
        <v>431</v>
      </c>
      <c r="G316" s="1" t="str">
        <f>"11206730159"</f>
        <v>11206730159</v>
      </c>
      <c r="I316" s="1" t="s">
        <v>192</v>
      </c>
      <c r="L316" s="1" t="s">
        <v>41</v>
      </c>
      <c r="AJ316" s="2">
        <v>45000</v>
      </c>
    </row>
    <row r="317" spans="1:36">
      <c r="A317" s="1" t="str">
        <f>"9721972916"</f>
        <v>9721972916</v>
      </c>
      <c r="B317" s="1" t="str">
        <f t="shared" si="4"/>
        <v>02406911202</v>
      </c>
      <c r="C317" s="1" t="s">
        <v>13</v>
      </c>
      <c r="D317" s="1" t="s">
        <v>47</v>
      </c>
      <c r="E317" s="1" t="s">
        <v>961</v>
      </c>
      <c r="F317" s="1" t="s">
        <v>431</v>
      </c>
      <c r="G317" s="1" t="str">
        <f>"08082461008"</f>
        <v>08082461008</v>
      </c>
      <c r="I317" s="1" t="s">
        <v>423</v>
      </c>
      <c r="L317" s="1" t="s">
        <v>41</v>
      </c>
      <c r="AJ317" s="2">
        <v>45000</v>
      </c>
    </row>
    <row r="318" spans="1:36">
      <c r="A318" s="1" t="str">
        <f>"9721972916"</f>
        <v>9721972916</v>
      </c>
      <c r="B318" s="1" t="str">
        <f t="shared" si="4"/>
        <v>02406911202</v>
      </c>
      <c r="C318" s="1" t="s">
        <v>13</v>
      </c>
      <c r="D318" s="1" t="s">
        <v>47</v>
      </c>
      <c r="E318" s="1" t="s">
        <v>961</v>
      </c>
      <c r="F318" s="1" t="s">
        <v>431</v>
      </c>
      <c r="G318" s="1" t="str">
        <f>"03071411205"</f>
        <v>03071411205</v>
      </c>
      <c r="I318" s="1" t="s">
        <v>559</v>
      </c>
      <c r="L318" s="1" t="s">
        <v>41</v>
      </c>
      <c r="AJ318" s="2">
        <v>45000</v>
      </c>
    </row>
    <row r="319" spans="1:36">
      <c r="A319" s="1" t="str">
        <f>"9721974ABC"</f>
        <v>9721974ABC</v>
      </c>
      <c r="B319" s="1" t="str">
        <f t="shared" si="4"/>
        <v>02406911202</v>
      </c>
      <c r="C319" s="1" t="s">
        <v>13</v>
      </c>
      <c r="D319" s="1" t="s">
        <v>47</v>
      </c>
      <c r="E319" s="1" t="s">
        <v>962</v>
      </c>
      <c r="F319" s="1" t="s">
        <v>431</v>
      </c>
      <c r="G319" s="1" t="str">
        <f>"09699320017"</f>
        <v>09699320017</v>
      </c>
      <c r="I319" s="1" t="s">
        <v>540</v>
      </c>
      <c r="L319" s="1" t="s">
        <v>41</v>
      </c>
      <c r="AJ319" s="2">
        <v>45000</v>
      </c>
    </row>
    <row r="320" spans="1:36">
      <c r="A320" s="1" t="str">
        <f>"9721974ABC"</f>
        <v>9721974ABC</v>
      </c>
      <c r="B320" s="1" t="str">
        <f t="shared" si="4"/>
        <v>02406911202</v>
      </c>
      <c r="C320" s="1" t="s">
        <v>13</v>
      </c>
      <c r="D320" s="1" t="s">
        <v>47</v>
      </c>
      <c r="E320" s="1" t="s">
        <v>962</v>
      </c>
      <c r="F320" s="1" t="s">
        <v>431</v>
      </c>
      <c r="G320" s="1" t="str">
        <f>"03071411205"</f>
        <v>03071411205</v>
      </c>
      <c r="I320" s="1" t="s">
        <v>559</v>
      </c>
      <c r="L320" s="1" t="s">
        <v>41</v>
      </c>
      <c r="AJ320" s="2">
        <v>45000</v>
      </c>
    </row>
    <row r="321" spans="1:36">
      <c r="A321" s="1" t="str">
        <f>"9721975B8F"</f>
        <v>9721975B8F</v>
      </c>
      <c r="B321" s="1" t="str">
        <f t="shared" si="4"/>
        <v>02406911202</v>
      </c>
      <c r="C321" s="1" t="s">
        <v>13</v>
      </c>
      <c r="D321" s="1" t="s">
        <v>47</v>
      </c>
      <c r="E321" s="1" t="s">
        <v>963</v>
      </c>
      <c r="F321" s="1" t="s">
        <v>431</v>
      </c>
      <c r="G321" s="1" t="str">
        <f>"11264670156"</f>
        <v>11264670156</v>
      </c>
      <c r="I321" s="1" t="s">
        <v>64</v>
      </c>
      <c r="L321" s="1" t="s">
        <v>41</v>
      </c>
      <c r="AJ321" s="2">
        <v>45000</v>
      </c>
    </row>
    <row r="322" spans="1:36">
      <c r="A322" s="1" t="str">
        <f>"9721975B8F"</f>
        <v>9721975B8F</v>
      </c>
      <c r="B322" s="1" t="str">
        <f t="shared" ref="B322:B385" si="6">"02406911202"</f>
        <v>02406911202</v>
      </c>
      <c r="C322" s="1" t="s">
        <v>13</v>
      </c>
      <c r="D322" s="1" t="s">
        <v>47</v>
      </c>
      <c r="E322" s="1" t="s">
        <v>963</v>
      </c>
      <c r="F322" s="1" t="s">
        <v>431</v>
      </c>
      <c r="G322" s="1" t="str">
        <f>"08082461008"</f>
        <v>08082461008</v>
      </c>
      <c r="I322" s="1" t="s">
        <v>423</v>
      </c>
      <c r="L322" s="1" t="s">
        <v>41</v>
      </c>
      <c r="AJ322" s="2">
        <v>45000</v>
      </c>
    </row>
    <row r="323" spans="1:36">
      <c r="A323" s="1" t="str">
        <f>"9721975B8F"</f>
        <v>9721975B8F</v>
      </c>
      <c r="B323" s="1" t="str">
        <f t="shared" si="6"/>
        <v>02406911202</v>
      </c>
      <c r="C323" s="1" t="s">
        <v>13</v>
      </c>
      <c r="D323" s="1" t="s">
        <v>47</v>
      </c>
      <c r="E323" s="1" t="s">
        <v>963</v>
      </c>
      <c r="F323" s="1" t="s">
        <v>431</v>
      </c>
      <c r="G323" s="1" t="str">
        <f>"02654900022"</f>
        <v>02654900022</v>
      </c>
      <c r="I323" s="1" t="s">
        <v>531</v>
      </c>
      <c r="L323" s="1" t="s">
        <v>41</v>
      </c>
      <c r="AJ323" s="2">
        <v>45000</v>
      </c>
    </row>
    <row r="324" spans="1:36">
      <c r="A324" s="1" t="str">
        <f>"9721976C62"</f>
        <v>9721976C62</v>
      </c>
      <c r="B324" s="1" t="str">
        <f t="shared" si="6"/>
        <v>02406911202</v>
      </c>
      <c r="C324" s="1" t="s">
        <v>13</v>
      </c>
      <c r="D324" s="1" t="s">
        <v>47</v>
      </c>
      <c r="E324" s="1" t="s">
        <v>964</v>
      </c>
      <c r="F324" s="1" t="s">
        <v>431</v>
      </c>
      <c r="G324" s="1" t="str">
        <f>"11264670156"</f>
        <v>11264670156</v>
      </c>
      <c r="I324" s="1" t="s">
        <v>64</v>
      </c>
      <c r="L324" s="1" t="s">
        <v>41</v>
      </c>
      <c r="AJ324" s="2">
        <v>45000</v>
      </c>
    </row>
    <row r="325" spans="1:36">
      <c r="A325" s="1" t="str">
        <f>"9721976C62"</f>
        <v>9721976C62</v>
      </c>
      <c r="B325" s="1" t="str">
        <f t="shared" si="6"/>
        <v>02406911202</v>
      </c>
      <c r="C325" s="1" t="s">
        <v>13</v>
      </c>
      <c r="D325" s="1" t="s">
        <v>47</v>
      </c>
      <c r="E325" s="1" t="s">
        <v>964</v>
      </c>
      <c r="F325" s="1" t="s">
        <v>431</v>
      </c>
      <c r="G325" s="1" t="str">
        <f>"11206730159"</f>
        <v>11206730159</v>
      </c>
      <c r="I325" s="1" t="s">
        <v>192</v>
      </c>
      <c r="L325" s="1" t="s">
        <v>41</v>
      </c>
      <c r="AJ325" s="2">
        <v>45000</v>
      </c>
    </row>
    <row r="326" spans="1:36">
      <c r="A326" s="1" t="str">
        <f>"9721976C62"</f>
        <v>9721976C62</v>
      </c>
      <c r="B326" s="1" t="str">
        <f t="shared" si="6"/>
        <v>02406911202</v>
      </c>
      <c r="C326" s="1" t="s">
        <v>13</v>
      </c>
      <c r="D326" s="1" t="s">
        <v>47</v>
      </c>
      <c r="E326" s="1" t="s">
        <v>964</v>
      </c>
      <c r="F326" s="1" t="s">
        <v>431</v>
      </c>
      <c r="G326" s="1" t="str">
        <f>"08082461008"</f>
        <v>08082461008</v>
      </c>
      <c r="I326" s="1" t="s">
        <v>423</v>
      </c>
      <c r="L326" s="1" t="s">
        <v>41</v>
      </c>
      <c r="AJ326" s="2">
        <v>45000</v>
      </c>
    </row>
    <row r="327" spans="1:36">
      <c r="A327" s="1" t="str">
        <f>"9721978E08"</f>
        <v>9721978E08</v>
      </c>
      <c r="B327" s="1" t="str">
        <f t="shared" si="6"/>
        <v>02406911202</v>
      </c>
      <c r="C327" s="1" t="s">
        <v>13</v>
      </c>
      <c r="D327" s="1" t="s">
        <v>47</v>
      </c>
      <c r="E327" s="1" t="s">
        <v>965</v>
      </c>
      <c r="F327" s="1" t="s">
        <v>431</v>
      </c>
      <c r="G327" s="1" t="str">
        <f>"11206730159"</f>
        <v>11206730159</v>
      </c>
      <c r="I327" s="1" t="s">
        <v>192</v>
      </c>
      <c r="L327" s="1" t="s">
        <v>41</v>
      </c>
      <c r="AJ327" s="2">
        <v>45000</v>
      </c>
    </row>
    <row r="328" spans="1:36">
      <c r="A328" s="1" t="str">
        <f>"9721978E08"</f>
        <v>9721978E08</v>
      </c>
      <c r="B328" s="1" t="str">
        <f t="shared" si="6"/>
        <v>02406911202</v>
      </c>
      <c r="C328" s="1" t="s">
        <v>13</v>
      </c>
      <c r="D328" s="1" t="s">
        <v>47</v>
      </c>
      <c r="E328" s="1" t="s">
        <v>965</v>
      </c>
      <c r="F328" s="1" t="s">
        <v>431</v>
      </c>
      <c r="G328" s="1" t="str">
        <f>"08082461008"</f>
        <v>08082461008</v>
      </c>
      <c r="I328" s="1" t="s">
        <v>423</v>
      </c>
      <c r="L328" s="1" t="s">
        <v>41</v>
      </c>
      <c r="AJ328" s="2">
        <v>45000</v>
      </c>
    </row>
    <row r="329" spans="1:36">
      <c r="A329" s="1" t="str">
        <f>"9721979EDB"</f>
        <v>9721979EDB</v>
      </c>
      <c r="B329" s="1" t="str">
        <f t="shared" si="6"/>
        <v>02406911202</v>
      </c>
      <c r="C329" s="1" t="s">
        <v>13</v>
      </c>
      <c r="D329" s="1" t="s">
        <v>47</v>
      </c>
      <c r="E329" s="1" t="s">
        <v>966</v>
      </c>
      <c r="F329" s="1" t="s">
        <v>431</v>
      </c>
      <c r="G329" s="1" t="str">
        <f>"11264670156"</f>
        <v>11264670156</v>
      </c>
      <c r="I329" s="1" t="s">
        <v>64</v>
      </c>
      <c r="L329" s="1" t="s">
        <v>41</v>
      </c>
      <c r="AJ329" s="2">
        <v>45000</v>
      </c>
    </row>
    <row r="330" spans="1:36">
      <c r="A330" s="1" t="str">
        <f>"9721979EDB"</f>
        <v>9721979EDB</v>
      </c>
      <c r="B330" s="1" t="str">
        <f t="shared" si="6"/>
        <v>02406911202</v>
      </c>
      <c r="C330" s="1" t="s">
        <v>13</v>
      </c>
      <c r="D330" s="1" t="s">
        <v>47</v>
      </c>
      <c r="E330" s="1" t="s">
        <v>966</v>
      </c>
      <c r="F330" s="1" t="s">
        <v>431</v>
      </c>
      <c r="G330" s="1" t="str">
        <f>"08082461008"</f>
        <v>08082461008</v>
      </c>
      <c r="I330" s="1" t="s">
        <v>423</v>
      </c>
      <c r="L330" s="1" t="s">
        <v>41</v>
      </c>
      <c r="AJ330" s="2">
        <v>45000</v>
      </c>
    </row>
    <row r="331" spans="1:36">
      <c r="A331" s="1" t="str">
        <f>"9721980FAE"</f>
        <v>9721980FAE</v>
      </c>
      <c r="B331" s="1" t="str">
        <f t="shared" si="6"/>
        <v>02406911202</v>
      </c>
      <c r="C331" s="1" t="s">
        <v>13</v>
      </c>
      <c r="D331" s="1" t="s">
        <v>47</v>
      </c>
      <c r="E331" s="1" t="s">
        <v>967</v>
      </c>
      <c r="F331" s="1" t="s">
        <v>431</v>
      </c>
      <c r="G331" s="1" t="str">
        <f>"11264670156"</f>
        <v>11264670156</v>
      </c>
      <c r="I331" s="1" t="s">
        <v>64</v>
      </c>
      <c r="L331" s="1" t="s">
        <v>41</v>
      </c>
      <c r="AJ331" s="2">
        <v>45000</v>
      </c>
    </row>
    <row r="332" spans="1:36">
      <c r="A332" s="1" t="str">
        <f>"9721980FAE"</f>
        <v>9721980FAE</v>
      </c>
      <c r="B332" s="1" t="str">
        <f t="shared" si="6"/>
        <v>02406911202</v>
      </c>
      <c r="C332" s="1" t="s">
        <v>13</v>
      </c>
      <c r="D332" s="1" t="s">
        <v>47</v>
      </c>
      <c r="E332" s="1" t="s">
        <v>967</v>
      </c>
      <c r="F332" s="1" t="s">
        <v>431</v>
      </c>
      <c r="G332" s="1" t="str">
        <f>"11206730159"</f>
        <v>11206730159</v>
      </c>
      <c r="I332" s="1" t="s">
        <v>192</v>
      </c>
      <c r="L332" s="1" t="s">
        <v>41</v>
      </c>
      <c r="AJ332" s="2">
        <v>45000</v>
      </c>
    </row>
    <row r="333" spans="1:36">
      <c r="A333" s="1" t="str">
        <f>"9721980FAE"</f>
        <v>9721980FAE</v>
      </c>
      <c r="B333" s="1" t="str">
        <f t="shared" si="6"/>
        <v>02406911202</v>
      </c>
      <c r="C333" s="1" t="s">
        <v>13</v>
      </c>
      <c r="D333" s="1" t="s">
        <v>47</v>
      </c>
      <c r="E333" s="1" t="s">
        <v>967</v>
      </c>
      <c r="F333" s="1" t="s">
        <v>431</v>
      </c>
      <c r="G333" s="1" t="str">
        <f>"08082461008"</f>
        <v>08082461008</v>
      </c>
      <c r="I333" s="1" t="s">
        <v>423</v>
      </c>
      <c r="L333" s="1" t="s">
        <v>41</v>
      </c>
      <c r="AJ333" s="2">
        <v>45000</v>
      </c>
    </row>
    <row r="334" spans="1:36">
      <c r="A334" s="1" t="str">
        <f>"9721981086"</f>
        <v>9721981086</v>
      </c>
      <c r="B334" s="1" t="str">
        <f t="shared" si="6"/>
        <v>02406911202</v>
      </c>
      <c r="C334" s="1" t="s">
        <v>13</v>
      </c>
      <c r="D334" s="1" t="s">
        <v>47</v>
      </c>
      <c r="E334" s="1" t="s">
        <v>968</v>
      </c>
      <c r="F334" s="1" t="s">
        <v>431</v>
      </c>
      <c r="G334" s="1" t="str">
        <f>"11264670156"</f>
        <v>11264670156</v>
      </c>
      <c r="I334" s="1" t="s">
        <v>64</v>
      </c>
      <c r="L334" s="1" t="s">
        <v>41</v>
      </c>
      <c r="AJ334" s="2">
        <v>45000</v>
      </c>
    </row>
    <row r="335" spans="1:36">
      <c r="A335" s="1" t="str">
        <f>"9721981086"</f>
        <v>9721981086</v>
      </c>
      <c r="B335" s="1" t="str">
        <f t="shared" si="6"/>
        <v>02406911202</v>
      </c>
      <c r="C335" s="1" t="s">
        <v>13</v>
      </c>
      <c r="D335" s="1" t="s">
        <v>47</v>
      </c>
      <c r="E335" s="1" t="s">
        <v>968</v>
      </c>
      <c r="F335" s="1" t="s">
        <v>431</v>
      </c>
      <c r="G335" s="1" t="str">
        <f>"09238800156"</f>
        <v>09238800156</v>
      </c>
      <c r="I335" s="1" t="s">
        <v>88</v>
      </c>
      <c r="L335" s="1" t="s">
        <v>41</v>
      </c>
      <c r="AJ335" s="2">
        <v>45000</v>
      </c>
    </row>
    <row r="336" spans="1:36">
      <c r="A336" s="1" t="str">
        <f>"9721982159"</f>
        <v>9721982159</v>
      </c>
      <c r="B336" s="1" t="str">
        <f t="shared" si="6"/>
        <v>02406911202</v>
      </c>
      <c r="C336" s="1" t="s">
        <v>13</v>
      </c>
      <c r="D336" s="1" t="s">
        <v>47</v>
      </c>
      <c r="E336" s="1" t="s">
        <v>969</v>
      </c>
      <c r="F336" s="1" t="s">
        <v>431</v>
      </c>
      <c r="G336" s="1" t="str">
        <f>"11264670156"</f>
        <v>11264670156</v>
      </c>
      <c r="I336" s="1" t="s">
        <v>64</v>
      </c>
      <c r="L336" s="1" t="s">
        <v>41</v>
      </c>
      <c r="AJ336" s="2">
        <v>45000</v>
      </c>
    </row>
    <row r="337" spans="1:36">
      <c r="A337" s="1" t="str">
        <f>"9721982159"</f>
        <v>9721982159</v>
      </c>
      <c r="B337" s="1" t="str">
        <f t="shared" si="6"/>
        <v>02406911202</v>
      </c>
      <c r="C337" s="1" t="s">
        <v>13</v>
      </c>
      <c r="D337" s="1" t="s">
        <v>47</v>
      </c>
      <c r="E337" s="1" t="s">
        <v>969</v>
      </c>
      <c r="F337" s="1" t="s">
        <v>431</v>
      </c>
      <c r="G337" s="1" t="str">
        <f>"08082461008"</f>
        <v>08082461008</v>
      </c>
      <c r="I337" s="1" t="s">
        <v>423</v>
      </c>
      <c r="L337" s="1" t="s">
        <v>41</v>
      </c>
      <c r="AJ337" s="2">
        <v>45000</v>
      </c>
    </row>
    <row r="338" spans="1:36">
      <c r="A338" s="1" t="str">
        <f>"9721982159"</f>
        <v>9721982159</v>
      </c>
      <c r="B338" s="1" t="str">
        <f t="shared" si="6"/>
        <v>02406911202</v>
      </c>
      <c r="C338" s="1" t="s">
        <v>13</v>
      </c>
      <c r="D338" s="1" t="s">
        <v>47</v>
      </c>
      <c r="E338" s="1" t="s">
        <v>969</v>
      </c>
      <c r="F338" s="1" t="s">
        <v>431</v>
      </c>
      <c r="G338" s="1" t="str">
        <f>"03071411205"</f>
        <v>03071411205</v>
      </c>
      <c r="I338" s="1" t="s">
        <v>559</v>
      </c>
      <c r="L338" s="1" t="s">
        <v>41</v>
      </c>
      <c r="AJ338" s="2">
        <v>45000</v>
      </c>
    </row>
    <row r="339" spans="1:36">
      <c r="A339" s="1" t="str">
        <f>"9721982159"</f>
        <v>9721982159</v>
      </c>
      <c r="B339" s="1" t="str">
        <f t="shared" si="6"/>
        <v>02406911202</v>
      </c>
      <c r="C339" s="1" t="s">
        <v>13</v>
      </c>
      <c r="D339" s="1" t="s">
        <v>47</v>
      </c>
      <c r="E339" s="1" t="s">
        <v>969</v>
      </c>
      <c r="F339" s="1" t="s">
        <v>431</v>
      </c>
      <c r="G339" s="1" t="str">
        <f>"02654900022"</f>
        <v>02654900022</v>
      </c>
      <c r="I339" s="1" t="s">
        <v>531</v>
      </c>
      <c r="L339" s="1" t="s">
        <v>41</v>
      </c>
      <c r="AJ339" s="2">
        <v>45000</v>
      </c>
    </row>
    <row r="340" spans="1:36">
      <c r="A340" s="1" t="str">
        <f>"972198322C"</f>
        <v>972198322C</v>
      </c>
      <c r="B340" s="1" t="str">
        <f t="shared" si="6"/>
        <v>02406911202</v>
      </c>
      <c r="C340" s="1" t="s">
        <v>13</v>
      </c>
      <c r="D340" s="1" t="s">
        <v>47</v>
      </c>
      <c r="E340" s="1" t="s">
        <v>970</v>
      </c>
      <c r="F340" s="1" t="s">
        <v>431</v>
      </c>
      <c r="G340" s="1" t="str">
        <f>"11264670156"</f>
        <v>11264670156</v>
      </c>
      <c r="I340" s="1" t="s">
        <v>64</v>
      </c>
      <c r="L340" s="1" t="s">
        <v>41</v>
      </c>
      <c r="AJ340" s="2">
        <v>45000</v>
      </c>
    </row>
    <row r="341" spans="1:36">
      <c r="A341" s="1" t="str">
        <f t="shared" ref="A341:A346" si="7">"97219842FF"</f>
        <v>97219842FF</v>
      </c>
      <c r="B341" s="1" t="str">
        <f t="shared" si="6"/>
        <v>02406911202</v>
      </c>
      <c r="C341" s="1" t="s">
        <v>13</v>
      </c>
      <c r="D341" s="1" t="s">
        <v>47</v>
      </c>
      <c r="E341" s="1" t="s">
        <v>971</v>
      </c>
      <c r="F341" s="1" t="s">
        <v>431</v>
      </c>
      <c r="G341" s="1" t="str">
        <f>"11264670156"</f>
        <v>11264670156</v>
      </c>
      <c r="I341" s="1" t="s">
        <v>64</v>
      </c>
      <c r="L341" s="1" t="s">
        <v>41</v>
      </c>
      <c r="AJ341" s="2">
        <v>45000</v>
      </c>
    </row>
    <row r="342" spans="1:36">
      <c r="A342" s="1" t="str">
        <f t="shared" si="7"/>
        <v>97219842FF</v>
      </c>
      <c r="B342" s="1" t="str">
        <f t="shared" si="6"/>
        <v>02406911202</v>
      </c>
      <c r="C342" s="1" t="s">
        <v>13</v>
      </c>
      <c r="D342" s="1" t="s">
        <v>47</v>
      </c>
      <c r="E342" s="1" t="s">
        <v>971</v>
      </c>
      <c r="F342" s="1" t="s">
        <v>431</v>
      </c>
      <c r="G342" s="1" t="str">
        <f>"09699320017"</f>
        <v>09699320017</v>
      </c>
      <c r="I342" s="1" t="s">
        <v>540</v>
      </c>
      <c r="L342" s="1" t="s">
        <v>41</v>
      </c>
      <c r="AJ342" s="2">
        <v>45000</v>
      </c>
    </row>
    <row r="343" spans="1:36">
      <c r="A343" s="1" t="str">
        <f t="shared" si="7"/>
        <v>97219842FF</v>
      </c>
      <c r="B343" s="1" t="str">
        <f t="shared" si="6"/>
        <v>02406911202</v>
      </c>
      <c r="C343" s="1" t="s">
        <v>13</v>
      </c>
      <c r="D343" s="1" t="s">
        <v>47</v>
      </c>
      <c r="E343" s="1" t="s">
        <v>971</v>
      </c>
      <c r="F343" s="1" t="s">
        <v>431</v>
      </c>
      <c r="G343" s="1" t="str">
        <f>"08082461008"</f>
        <v>08082461008</v>
      </c>
      <c r="I343" s="1" t="s">
        <v>423</v>
      </c>
      <c r="L343" s="1" t="s">
        <v>41</v>
      </c>
      <c r="AJ343" s="2">
        <v>45000</v>
      </c>
    </row>
    <row r="344" spans="1:36">
      <c r="A344" s="1" t="str">
        <f t="shared" si="7"/>
        <v>97219842FF</v>
      </c>
      <c r="B344" s="1" t="str">
        <f t="shared" si="6"/>
        <v>02406911202</v>
      </c>
      <c r="C344" s="1" t="s">
        <v>13</v>
      </c>
      <c r="D344" s="1" t="s">
        <v>47</v>
      </c>
      <c r="E344" s="1" t="s">
        <v>971</v>
      </c>
      <c r="F344" s="1" t="s">
        <v>431</v>
      </c>
      <c r="G344" s="1" t="str">
        <f>"03071411205"</f>
        <v>03071411205</v>
      </c>
      <c r="I344" s="1" t="s">
        <v>559</v>
      </c>
      <c r="L344" s="1" t="s">
        <v>41</v>
      </c>
      <c r="AJ344" s="2">
        <v>45000</v>
      </c>
    </row>
    <row r="345" spans="1:36">
      <c r="A345" s="1" t="str">
        <f t="shared" si="7"/>
        <v>97219842FF</v>
      </c>
      <c r="B345" s="1" t="str">
        <f t="shared" si="6"/>
        <v>02406911202</v>
      </c>
      <c r="C345" s="1" t="s">
        <v>13</v>
      </c>
      <c r="D345" s="1" t="s">
        <v>47</v>
      </c>
      <c r="E345" s="1" t="s">
        <v>971</v>
      </c>
      <c r="F345" s="1" t="s">
        <v>431</v>
      </c>
      <c r="G345" s="1" t="str">
        <f>"09238800156"</f>
        <v>09238800156</v>
      </c>
      <c r="I345" s="1" t="s">
        <v>88</v>
      </c>
      <c r="L345" s="1" t="s">
        <v>41</v>
      </c>
      <c r="AJ345" s="2">
        <v>45000</v>
      </c>
    </row>
    <row r="346" spans="1:36">
      <c r="A346" s="1" t="str">
        <f t="shared" si="7"/>
        <v>97219842FF</v>
      </c>
      <c r="B346" s="1" t="str">
        <f t="shared" si="6"/>
        <v>02406911202</v>
      </c>
      <c r="C346" s="1" t="s">
        <v>13</v>
      </c>
      <c r="D346" s="1" t="s">
        <v>47</v>
      </c>
      <c r="E346" s="1" t="s">
        <v>971</v>
      </c>
      <c r="F346" s="1" t="s">
        <v>431</v>
      </c>
      <c r="G346" s="1" t="str">
        <f>"02654900022"</f>
        <v>02654900022</v>
      </c>
      <c r="I346" s="1" t="s">
        <v>531</v>
      </c>
      <c r="L346" s="1" t="s">
        <v>41</v>
      </c>
      <c r="AJ346" s="2">
        <v>45000</v>
      </c>
    </row>
    <row r="347" spans="1:36">
      <c r="A347" s="1" t="str">
        <f>"97219853D2"</f>
        <v>97219853D2</v>
      </c>
      <c r="B347" s="1" t="str">
        <f t="shared" si="6"/>
        <v>02406911202</v>
      </c>
      <c r="C347" s="1" t="s">
        <v>13</v>
      </c>
      <c r="D347" s="1" t="s">
        <v>47</v>
      </c>
      <c r="E347" s="1" t="s">
        <v>972</v>
      </c>
      <c r="F347" s="1" t="s">
        <v>431</v>
      </c>
      <c r="G347" s="1" t="str">
        <f>"09238800156"</f>
        <v>09238800156</v>
      </c>
      <c r="I347" s="1" t="s">
        <v>88</v>
      </c>
      <c r="L347" s="1" t="s">
        <v>41</v>
      </c>
      <c r="AJ347" s="2">
        <v>45000</v>
      </c>
    </row>
    <row r="348" spans="1:36">
      <c r="A348" s="1" t="str">
        <f>"972198864B"</f>
        <v>972198864B</v>
      </c>
      <c r="B348" s="1" t="str">
        <f t="shared" si="6"/>
        <v>02406911202</v>
      </c>
      <c r="C348" s="1" t="s">
        <v>13</v>
      </c>
      <c r="D348" s="1" t="s">
        <v>47</v>
      </c>
      <c r="E348" s="1" t="s">
        <v>973</v>
      </c>
      <c r="F348" s="1" t="s">
        <v>431</v>
      </c>
      <c r="G348" s="1" t="str">
        <f>"11264670156"</f>
        <v>11264670156</v>
      </c>
      <c r="I348" s="1" t="s">
        <v>64</v>
      </c>
      <c r="L348" s="1" t="s">
        <v>41</v>
      </c>
      <c r="AJ348" s="2">
        <v>45000</v>
      </c>
    </row>
    <row r="349" spans="1:36">
      <c r="A349" s="1" t="str">
        <f>"972198864B"</f>
        <v>972198864B</v>
      </c>
      <c r="B349" s="1" t="str">
        <f t="shared" si="6"/>
        <v>02406911202</v>
      </c>
      <c r="C349" s="1" t="s">
        <v>13</v>
      </c>
      <c r="D349" s="1" t="s">
        <v>47</v>
      </c>
      <c r="E349" s="1" t="s">
        <v>973</v>
      </c>
      <c r="F349" s="1" t="s">
        <v>431</v>
      </c>
      <c r="G349" s="1" t="str">
        <f>"08082461008"</f>
        <v>08082461008</v>
      </c>
      <c r="I349" s="1" t="s">
        <v>423</v>
      </c>
      <c r="L349" s="1" t="s">
        <v>41</v>
      </c>
      <c r="AJ349" s="2">
        <v>45000</v>
      </c>
    </row>
    <row r="350" spans="1:36">
      <c r="A350" s="1" t="str">
        <f>"97219907F1"</f>
        <v>97219907F1</v>
      </c>
      <c r="B350" s="1" t="str">
        <f t="shared" si="6"/>
        <v>02406911202</v>
      </c>
      <c r="C350" s="1" t="s">
        <v>13</v>
      </c>
      <c r="D350" s="1" t="s">
        <v>47</v>
      </c>
      <c r="E350" s="1" t="s">
        <v>974</v>
      </c>
      <c r="F350" s="1" t="s">
        <v>431</v>
      </c>
      <c r="G350" s="1" t="str">
        <f>"01835220482"</f>
        <v>01835220482</v>
      </c>
      <c r="I350" s="1" t="s">
        <v>412</v>
      </c>
      <c r="L350" s="1" t="s">
        <v>41</v>
      </c>
      <c r="AJ350" s="2">
        <v>45000</v>
      </c>
    </row>
    <row r="351" spans="1:36">
      <c r="A351" s="1" t="str">
        <f>"9934399D63"</f>
        <v>9934399D63</v>
      </c>
      <c r="B351" s="1" t="str">
        <f t="shared" si="6"/>
        <v>02406911202</v>
      </c>
      <c r="C351" s="1" t="s">
        <v>13</v>
      </c>
      <c r="D351" s="1" t="s">
        <v>47</v>
      </c>
      <c r="E351" s="1" t="s">
        <v>975</v>
      </c>
      <c r="F351" s="1" t="s">
        <v>99</v>
      </c>
      <c r="G351" s="1" t="str">
        <f>"02504711207"</f>
        <v>02504711207</v>
      </c>
      <c r="I351" s="1" t="s">
        <v>976</v>
      </c>
      <c r="L351" s="1" t="s">
        <v>44</v>
      </c>
      <c r="M351" s="1" t="s">
        <v>977</v>
      </c>
      <c r="O351" s="1" t="s">
        <v>977</v>
      </c>
      <c r="AJ351" s="2">
        <v>45106</v>
      </c>
    </row>
    <row r="352" spans="1:36">
      <c r="A352" s="1" t="str">
        <f>"9934399D63"</f>
        <v>9934399D63</v>
      </c>
      <c r="B352" s="1" t="str">
        <f t="shared" si="6"/>
        <v>02406911202</v>
      </c>
      <c r="C352" s="1" t="s">
        <v>13</v>
      </c>
      <c r="D352" s="1" t="s">
        <v>47</v>
      </c>
      <c r="E352" s="1" t="s">
        <v>975</v>
      </c>
      <c r="F352" s="1" t="s">
        <v>99</v>
      </c>
      <c r="G352" s="1" t="str">
        <f>"02558560211"</f>
        <v>02558560211</v>
      </c>
      <c r="I352" s="1" t="s">
        <v>978</v>
      </c>
      <c r="L352" s="1" t="s">
        <v>44</v>
      </c>
      <c r="M352" s="1" t="s">
        <v>977</v>
      </c>
      <c r="O352" s="1" t="s">
        <v>977</v>
      </c>
      <c r="AJ352" s="2">
        <v>45106</v>
      </c>
    </row>
    <row r="353" spans="1:36">
      <c r="A353" s="1" t="str">
        <f>"99344306FA"</f>
        <v>99344306FA</v>
      </c>
      <c r="B353" s="1" t="str">
        <f t="shared" si="6"/>
        <v>02406911202</v>
      </c>
      <c r="C353" s="1" t="s">
        <v>13</v>
      </c>
      <c r="D353" s="1" t="s">
        <v>47</v>
      </c>
      <c r="E353" s="1" t="s">
        <v>975</v>
      </c>
      <c r="F353" s="1" t="s">
        <v>99</v>
      </c>
      <c r="G353" s="1" t="str">
        <f>"02504711207"</f>
        <v>02504711207</v>
      </c>
      <c r="I353" s="1" t="s">
        <v>976</v>
      </c>
      <c r="L353" s="1" t="s">
        <v>44</v>
      </c>
      <c r="M353" s="1" t="s">
        <v>979</v>
      </c>
      <c r="O353" s="1" t="s">
        <v>979</v>
      </c>
      <c r="AJ353" s="2">
        <v>45106</v>
      </c>
    </row>
    <row r="354" spans="1:36">
      <c r="A354" s="1" t="str">
        <f>"99344306FA"</f>
        <v>99344306FA</v>
      </c>
      <c r="B354" s="1" t="str">
        <f t="shared" si="6"/>
        <v>02406911202</v>
      </c>
      <c r="C354" s="1" t="s">
        <v>13</v>
      </c>
      <c r="D354" s="1" t="s">
        <v>47</v>
      </c>
      <c r="E354" s="1" t="s">
        <v>975</v>
      </c>
      <c r="F354" s="1" t="s">
        <v>99</v>
      </c>
      <c r="G354" s="1" t="str">
        <f>"02558560211"</f>
        <v>02558560211</v>
      </c>
      <c r="I354" s="1" t="s">
        <v>978</v>
      </c>
      <c r="L354" s="1" t="s">
        <v>44</v>
      </c>
      <c r="M354" s="1" t="s">
        <v>979</v>
      </c>
      <c r="O354" s="1" t="s">
        <v>979</v>
      </c>
      <c r="AJ354" s="2">
        <v>45106</v>
      </c>
    </row>
    <row r="355" spans="1:36">
      <c r="A355" s="1" t="str">
        <f>"9772682050"</f>
        <v>9772682050</v>
      </c>
      <c r="B355" s="1" t="str">
        <f t="shared" si="6"/>
        <v>02406911202</v>
      </c>
      <c r="C355" s="1" t="s">
        <v>13</v>
      </c>
      <c r="D355" s="1" t="s">
        <v>47</v>
      </c>
      <c r="E355" s="1" t="s">
        <v>980</v>
      </c>
      <c r="F355" s="1" t="s">
        <v>431</v>
      </c>
      <c r="G355" s="1" t="str">
        <f>"02643200542"</f>
        <v>02643200542</v>
      </c>
      <c r="I355" s="1" t="s">
        <v>981</v>
      </c>
      <c r="L355" s="1" t="s">
        <v>44</v>
      </c>
      <c r="M355" s="1" t="s">
        <v>982</v>
      </c>
      <c r="O355" s="1" t="s">
        <v>982</v>
      </c>
      <c r="AJ355" s="2">
        <v>45049</v>
      </c>
    </row>
    <row r="356" spans="1:36">
      <c r="A356" s="1" t="str">
        <f>"989726489F"</f>
        <v>989726489F</v>
      </c>
      <c r="B356" s="1" t="str">
        <f t="shared" si="6"/>
        <v>02406911202</v>
      </c>
      <c r="C356" s="1" t="s">
        <v>13</v>
      </c>
      <c r="D356" s="1" t="s">
        <v>983</v>
      </c>
      <c r="E356" s="1" t="s">
        <v>984</v>
      </c>
      <c r="F356" s="1" t="s">
        <v>49</v>
      </c>
      <c r="G356" s="1" t="str">
        <f>"03707151209"</f>
        <v>03707151209</v>
      </c>
      <c r="I356" s="1" t="s">
        <v>985</v>
      </c>
      <c r="L356" s="1" t="s">
        <v>44</v>
      </c>
      <c r="M356" s="1" t="s">
        <v>986</v>
      </c>
      <c r="AG356" s="1" t="s">
        <v>124</v>
      </c>
      <c r="AH356" s="2">
        <v>45173</v>
      </c>
      <c r="AI356" s="2">
        <v>45198</v>
      </c>
      <c r="AJ356" s="2">
        <v>45089</v>
      </c>
    </row>
    <row r="357" spans="1:36">
      <c r="A357" s="1" t="str">
        <f>"989726489F"</f>
        <v>989726489F</v>
      </c>
      <c r="B357" s="1" t="str">
        <f t="shared" si="6"/>
        <v>02406911202</v>
      </c>
      <c r="C357" s="1" t="s">
        <v>13</v>
      </c>
      <c r="D357" s="1" t="s">
        <v>983</v>
      </c>
      <c r="E357" s="1" t="s">
        <v>984</v>
      </c>
      <c r="F357" s="1" t="s">
        <v>49</v>
      </c>
      <c r="G357" s="1" t="str">
        <f>"01884611201"</f>
        <v>01884611201</v>
      </c>
      <c r="I357" s="1" t="s">
        <v>987</v>
      </c>
      <c r="L357" s="1" t="s">
        <v>41</v>
      </c>
      <c r="AJ357" s="2">
        <v>45089</v>
      </c>
    </row>
    <row r="358" spans="1:36">
      <c r="A358" s="1" t="str">
        <f>"9897562E88"</f>
        <v>9897562E88</v>
      </c>
      <c r="B358" s="1" t="str">
        <f t="shared" si="6"/>
        <v>02406911202</v>
      </c>
      <c r="C358" s="1" t="s">
        <v>13</v>
      </c>
      <c r="D358" s="1" t="s">
        <v>983</v>
      </c>
      <c r="E358" s="1" t="s">
        <v>988</v>
      </c>
      <c r="F358" s="1" t="s">
        <v>49</v>
      </c>
      <c r="G358" s="1" t="str">
        <f>"03707151209"</f>
        <v>03707151209</v>
      </c>
      <c r="I358" s="1" t="s">
        <v>985</v>
      </c>
      <c r="L358" s="1" t="s">
        <v>44</v>
      </c>
      <c r="M358" s="1" t="s">
        <v>989</v>
      </c>
      <c r="AG358" s="1" t="s">
        <v>124</v>
      </c>
      <c r="AH358" s="2">
        <v>45134</v>
      </c>
      <c r="AI358" s="2">
        <v>45374</v>
      </c>
      <c r="AJ358" s="2">
        <v>45089</v>
      </c>
    </row>
    <row r="359" spans="1:36">
      <c r="A359" s="1" t="str">
        <f>"9897562E88"</f>
        <v>9897562E88</v>
      </c>
      <c r="B359" s="1" t="str">
        <f t="shared" si="6"/>
        <v>02406911202</v>
      </c>
      <c r="C359" s="1" t="s">
        <v>13</v>
      </c>
      <c r="D359" s="1" t="s">
        <v>983</v>
      </c>
      <c r="E359" s="1" t="s">
        <v>988</v>
      </c>
      <c r="F359" s="1" t="s">
        <v>49</v>
      </c>
      <c r="G359" s="1" t="str">
        <f>"01884611201"</f>
        <v>01884611201</v>
      </c>
      <c r="I359" s="1" t="s">
        <v>987</v>
      </c>
      <c r="L359" s="1" t="s">
        <v>41</v>
      </c>
      <c r="AJ359" s="2">
        <v>45089</v>
      </c>
    </row>
    <row r="360" spans="1:36">
      <c r="A360" s="1" t="str">
        <f>"98976349F4"</f>
        <v>98976349F4</v>
      </c>
      <c r="B360" s="1" t="str">
        <f t="shared" si="6"/>
        <v>02406911202</v>
      </c>
      <c r="C360" s="1" t="s">
        <v>13</v>
      </c>
      <c r="D360" s="1" t="s">
        <v>983</v>
      </c>
      <c r="E360" s="1" t="s">
        <v>990</v>
      </c>
      <c r="F360" s="1" t="s">
        <v>49</v>
      </c>
      <c r="G360" s="1" t="str">
        <f>"03707151209"</f>
        <v>03707151209</v>
      </c>
      <c r="I360" s="1" t="s">
        <v>985</v>
      </c>
      <c r="L360" s="1" t="s">
        <v>44</v>
      </c>
      <c r="M360" s="1" t="s">
        <v>991</v>
      </c>
      <c r="AG360" s="1" t="s">
        <v>124</v>
      </c>
      <c r="AH360" s="2">
        <v>45134</v>
      </c>
      <c r="AI360" s="2">
        <v>45374</v>
      </c>
      <c r="AJ360" s="2">
        <v>45089</v>
      </c>
    </row>
    <row r="361" spans="1:36">
      <c r="A361" s="1" t="str">
        <f>"98976349F4"</f>
        <v>98976349F4</v>
      </c>
      <c r="B361" s="1" t="str">
        <f t="shared" si="6"/>
        <v>02406911202</v>
      </c>
      <c r="C361" s="1" t="s">
        <v>13</v>
      </c>
      <c r="D361" s="1" t="s">
        <v>983</v>
      </c>
      <c r="E361" s="1" t="s">
        <v>990</v>
      </c>
      <c r="F361" s="1" t="s">
        <v>49</v>
      </c>
      <c r="G361" s="1" t="str">
        <f>"01884611201"</f>
        <v>01884611201</v>
      </c>
      <c r="I361" s="1" t="s">
        <v>987</v>
      </c>
      <c r="L361" s="1" t="s">
        <v>41</v>
      </c>
      <c r="AJ361" s="2">
        <v>45089</v>
      </c>
    </row>
    <row r="362" spans="1:36">
      <c r="A362" s="1" t="str">
        <f>"9897701141"</f>
        <v>9897701141</v>
      </c>
      <c r="B362" s="1" t="str">
        <f t="shared" si="6"/>
        <v>02406911202</v>
      </c>
      <c r="C362" s="1" t="s">
        <v>13</v>
      </c>
      <c r="D362" s="1" t="s">
        <v>983</v>
      </c>
      <c r="E362" s="1" t="s">
        <v>992</v>
      </c>
      <c r="F362" s="1" t="s">
        <v>49</v>
      </c>
      <c r="G362" s="1" t="str">
        <f>"03707151209"</f>
        <v>03707151209</v>
      </c>
      <c r="I362" s="1" t="s">
        <v>985</v>
      </c>
      <c r="L362" s="1" t="s">
        <v>44</v>
      </c>
      <c r="M362" s="1" t="s">
        <v>993</v>
      </c>
      <c r="AG362" s="1" t="s">
        <v>124</v>
      </c>
      <c r="AH362" s="2">
        <v>45139</v>
      </c>
      <c r="AI362" s="2">
        <v>45230</v>
      </c>
      <c r="AJ362" s="2">
        <v>45089</v>
      </c>
    </row>
    <row r="363" spans="1:36">
      <c r="A363" s="1" t="str">
        <f>"9897701141"</f>
        <v>9897701141</v>
      </c>
      <c r="B363" s="1" t="str">
        <f t="shared" si="6"/>
        <v>02406911202</v>
      </c>
      <c r="C363" s="1" t="s">
        <v>13</v>
      </c>
      <c r="D363" s="1" t="s">
        <v>983</v>
      </c>
      <c r="E363" s="1" t="s">
        <v>992</v>
      </c>
      <c r="F363" s="1" t="s">
        <v>49</v>
      </c>
      <c r="G363" s="1" t="str">
        <f>"01884611201"</f>
        <v>01884611201</v>
      </c>
      <c r="I363" s="1" t="s">
        <v>987</v>
      </c>
      <c r="L363" s="1" t="s">
        <v>41</v>
      </c>
      <c r="AJ363" s="2">
        <v>45089</v>
      </c>
    </row>
    <row r="364" spans="1:36">
      <c r="A364" s="1" t="str">
        <f>"9897734C79"</f>
        <v>9897734C79</v>
      </c>
      <c r="B364" s="1" t="str">
        <f t="shared" si="6"/>
        <v>02406911202</v>
      </c>
      <c r="C364" s="1" t="s">
        <v>13</v>
      </c>
      <c r="D364" s="1" t="s">
        <v>983</v>
      </c>
      <c r="E364" s="1" t="s">
        <v>994</v>
      </c>
      <c r="F364" s="1" t="s">
        <v>49</v>
      </c>
      <c r="G364" s="1" t="str">
        <f>"03707151209"</f>
        <v>03707151209</v>
      </c>
      <c r="I364" s="1" t="s">
        <v>985</v>
      </c>
      <c r="L364" s="1" t="s">
        <v>44</v>
      </c>
      <c r="M364" s="1" t="s">
        <v>995</v>
      </c>
      <c r="AG364" s="1" t="s">
        <v>124</v>
      </c>
      <c r="AH364" s="2">
        <v>45127</v>
      </c>
      <c r="AI364" s="2">
        <v>45577</v>
      </c>
      <c r="AJ364" s="2">
        <v>45089</v>
      </c>
    </row>
    <row r="365" spans="1:36">
      <c r="A365" s="1" t="str">
        <f>"9897734C79"</f>
        <v>9897734C79</v>
      </c>
      <c r="B365" s="1" t="str">
        <f t="shared" si="6"/>
        <v>02406911202</v>
      </c>
      <c r="C365" s="1" t="s">
        <v>13</v>
      </c>
      <c r="D365" s="1" t="s">
        <v>983</v>
      </c>
      <c r="E365" s="1" t="s">
        <v>994</v>
      </c>
      <c r="F365" s="1" t="s">
        <v>49</v>
      </c>
      <c r="G365" s="1" t="str">
        <f>"01884611201"</f>
        <v>01884611201</v>
      </c>
      <c r="I365" s="1" t="s">
        <v>987</v>
      </c>
      <c r="L365" s="1" t="s">
        <v>41</v>
      </c>
      <c r="AJ365" s="2">
        <v>45089</v>
      </c>
    </row>
    <row r="366" spans="1:36">
      <c r="A366" s="1" t="str">
        <f>"9898333AC9"</f>
        <v>9898333AC9</v>
      </c>
      <c r="B366" s="1" t="str">
        <f t="shared" si="6"/>
        <v>02406911202</v>
      </c>
      <c r="C366" s="1" t="s">
        <v>13</v>
      </c>
      <c r="D366" s="1" t="s">
        <v>983</v>
      </c>
      <c r="E366" s="1" t="s">
        <v>996</v>
      </c>
      <c r="F366" s="1" t="s">
        <v>49</v>
      </c>
      <c r="G366" s="1" t="str">
        <f>"01619950437"</f>
        <v>01619950437</v>
      </c>
      <c r="I366" s="1" t="s">
        <v>997</v>
      </c>
      <c r="L366" s="1" t="s">
        <v>44</v>
      </c>
      <c r="M366" s="1" t="s">
        <v>998</v>
      </c>
      <c r="AG366" s="1" t="s">
        <v>124</v>
      </c>
      <c r="AH366" s="2">
        <v>45127</v>
      </c>
      <c r="AI366" s="2">
        <v>45358</v>
      </c>
      <c r="AJ366" s="2">
        <v>45089</v>
      </c>
    </row>
    <row r="367" spans="1:36">
      <c r="A367" s="1" t="str">
        <f>"9898333AC9"</f>
        <v>9898333AC9</v>
      </c>
      <c r="B367" s="1" t="str">
        <f t="shared" si="6"/>
        <v>02406911202</v>
      </c>
      <c r="C367" s="1" t="s">
        <v>13</v>
      </c>
      <c r="D367" s="1" t="s">
        <v>983</v>
      </c>
      <c r="E367" s="1" t="s">
        <v>996</v>
      </c>
      <c r="F367" s="1" t="s">
        <v>49</v>
      </c>
      <c r="G367" s="1" t="str">
        <f>"03780081208"</f>
        <v>03780081208</v>
      </c>
      <c r="I367" s="1" t="s">
        <v>999</v>
      </c>
      <c r="L367" s="1" t="s">
        <v>41</v>
      </c>
      <c r="AJ367" s="2">
        <v>45089</v>
      </c>
    </row>
    <row r="368" spans="1:36">
      <c r="A368" s="1" t="str">
        <f>"9898386687"</f>
        <v>9898386687</v>
      </c>
      <c r="B368" s="1" t="str">
        <f t="shared" si="6"/>
        <v>02406911202</v>
      </c>
      <c r="C368" s="1" t="s">
        <v>13</v>
      </c>
      <c r="D368" s="1" t="s">
        <v>983</v>
      </c>
      <c r="E368" s="1" t="s">
        <v>1000</v>
      </c>
      <c r="F368" s="1" t="s">
        <v>49</v>
      </c>
      <c r="G368" s="1" t="str">
        <f>"03780081208"</f>
        <v>03780081208</v>
      </c>
      <c r="I368" s="1" t="s">
        <v>999</v>
      </c>
      <c r="L368" s="1" t="s">
        <v>41</v>
      </c>
      <c r="AJ368" s="2">
        <v>45089</v>
      </c>
    </row>
    <row r="369" spans="1:36">
      <c r="A369" s="1" t="str">
        <f>"9898386687"</f>
        <v>9898386687</v>
      </c>
      <c r="B369" s="1" t="str">
        <f t="shared" si="6"/>
        <v>02406911202</v>
      </c>
      <c r="C369" s="1" t="s">
        <v>13</v>
      </c>
      <c r="D369" s="1" t="s">
        <v>983</v>
      </c>
      <c r="E369" s="1" t="s">
        <v>1000</v>
      </c>
      <c r="F369" s="1" t="s">
        <v>49</v>
      </c>
      <c r="G369" s="1" t="str">
        <f>"01619950437"</f>
        <v>01619950437</v>
      </c>
      <c r="I369" s="1" t="s">
        <v>997</v>
      </c>
      <c r="L369" s="1" t="s">
        <v>44</v>
      </c>
      <c r="M369" s="1" t="s">
        <v>1001</v>
      </c>
      <c r="AG369" s="1" t="s">
        <v>124</v>
      </c>
      <c r="AH369" s="2">
        <v>45126</v>
      </c>
      <c r="AI369" s="2">
        <v>45127</v>
      </c>
      <c r="AJ369" s="2">
        <v>45089</v>
      </c>
    </row>
    <row r="370" spans="1:36">
      <c r="A370" s="1" t="str">
        <f>"98984077DB"</f>
        <v>98984077DB</v>
      </c>
      <c r="B370" s="1" t="str">
        <f t="shared" si="6"/>
        <v>02406911202</v>
      </c>
      <c r="C370" s="1" t="s">
        <v>13</v>
      </c>
      <c r="D370" s="1" t="s">
        <v>983</v>
      </c>
      <c r="E370" s="1" t="s">
        <v>1002</v>
      </c>
      <c r="F370" s="1" t="s">
        <v>49</v>
      </c>
      <c r="G370" s="1" t="str">
        <f>"01619950437"</f>
        <v>01619950437</v>
      </c>
      <c r="I370" s="1" t="s">
        <v>997</v>
      </c>
      <c r="L370" s="1" t="s">
        <v>44</v>
      </c>
      <c r="M370" s="1" t="s">
        <v>1003</v>
      </c>
      <c r="AG370" s="1" t="s">
        <v>124</v>
      </c>
      <c r="AH370" s="2">
        <v>45131</v>
      </c>
      <c r="AI370" s="2">
        <v>45184</v>
      </c>
      <c r="AJ370" s="2">
        <v>45089</v>
      </c>
    </row>
    <row r="371" spans="1:36">
      <c r="A371" s="1" t="str">
        <f>"98984077DB"</f>
        <v>98984077DB</v>
      </c>
      <c r="B371" s="1" t="str">
        <f t="shared" si="6"/>
        <v>02406911202</v>
      </c>
      <c r="C371" s="1" t="s">
        <v>13</v>
      </c>
      <c r="D371" s="1" t="s">
        <v>983</v>
      </c>
      <c r="E371" s="1" t="s">
        <v>1002</v>
      </c>
      <c r="F371" s="1" t="s">
        <v>49</v>
      </c>
      <c r="G371" s="1" t="str">
        <f>"03780081208"</f>
        <v>03780081208</v>
      </c>
      <c r="I371" s="1" t="s">
        <v>999</v>
      </c>
      <c r="L371" s="1" t="s">
        <v>41</v>
      </c>
      <c r="AJ371" s="2">
        <v>45089</v>
      </c>
    </row>
    <row r="372" spans="1:36">
      <c r="A372" s="1" t="str">
        <f>"98984489B0"</f>
        <v>98984489B0</v>
      </c>
      <c r="B372" s="1" t="str">
        <f t="shared" si="6"/>
        <v>02406911202</v>
      </c>
      <c r="C372" s="1" t="s">
        <v>13</v>
      </c>
      <c r="D372" s="1" t="s">
        <v>983</v>
      </c>
      <c r="E372" s="1" t="s">
        <v>1004</v>
      </c>
      <c r="F372" s="1" t="s">
        <v>49</v>
      </c>
      <c r="G372" s="1" t="str">
        <f>"01619950437"</f>
        <v>01619950437</v>
      </c>
      <c r="I372" s="1" t="s">
        <v>997</v>
      </c>
      <c r="L372" s="1" t="s">
        <v>44</v>
      </c>
      <c r="M372" s="1" t="s">
        <v>1005</v>
      </c>
      <c r="AG372" s="1" t="s">
        <v>124</v>
      </c>
      <c r="AH372" s="2">
        <v>45134</v>
      </c>
      <c r="AI372" s="2">
        <v>45284</v>
      </c>
      <c r="AJ372" s="2">
        <v>45089</v>
      </c>
    </row>
    <row r="373" spans="1:36">
      <c r="A373" s="1" t="str">
        <f>"98984489B0"</f>
        <v>98984489B0</v>
      </c>
      <c r="B373" s="1" t="str">
        <f t="shared" si="6"/>
        <v>02406911202</v>
      </c>
      <c r="C373" s="1" t="s">
        <v>13</v>
      </c>
      <c r="D373" s="1" t="s">
        <v>983</v>
      </c>
      <c r="E373" s="1" t="s">
        <v>1004</v>
      </c>
      <c r="F373" s="1" t="s">
        <v>49</v>
      </c>
      <c r="G373" s="1" t="str">
        <f>"03780081208"</f>
        <v>03780081208</v>
      </c>
      <c r="I373" s="1" t="s">
        <v>999</v>
      </c>
      <c r="L373" s="1" t="s">
        <v>41</v>
      </c>
      <c r="AJ373" s="2">
        <v>45089</v>
      </c>
    </row>
    <row r="374" spans="1:36">
      <c r="A374" s="1" t="str">
        <f>"9898484766"</f>
        <v>9898484766</v>
      </c>
      <c r="B374" s="1" t="str">
        <f t="shared" si="6"/>
        <v>02406911202</v>
      </c>
      <c r="C374" s="1" t="s">
        <v>13</v>
      </c>
      <c r="D374" s="1" t="s">
        <v>983</v>
      </c>
      <c r="E374" s="1" t="s">
        <v>1006</v>
      </c>
      <c r="F374" s="1" t="s">
        <v>49</v>
      </c>
      <c r="G374" s="1" t="str">
        <f>"01619950437"</f>
        <v>01619950437</v>
      </c>
      <c r="I374" s="1" t="s">
        <v>997</v>
      </c>
      <c r="L374" s="1" t="s">
        <v>44</v>
      </c>
      <c r="M374" s="1" t="s">
        <v>1007</v>
      </c>
      <c r="AG374" s="1" t="s">
        <v>124</v>
      </c>
      <c r="AH374" s="2">
        <v>45134</v>
      </c>
      <c r="AI374" s="2">
        <v>45284</v>
      </c>
      <c r="AJ374" s="2">
        <v>45089</v>
      </c>
    </row>
    <row r="375" spans="1:36">
      <c r="A375" s="1" t="str">
        <f>"9898484766"</f>
        <v>9898484766</v>
      </c>
      <c r="B375" s="1" t="str">
        <f t="shared" si="6"/>
        <v>02406911202</v>
      </c>
      <c r="C375" s="1" t="s">
        <v>13</v>
      </c>
      <c r="D375" s="1" t="s">
        <v>983</v>
      </c>
      <c r="E375" s="1" t="s">
        <v>1006</v>
      </c>
      <c r="F375" s="1" t="s">
        <v>49</v>
      </c>
      <c r="G375" s="1" t="str">
        <f>"03780081208"</f>
        <v>03780081208</v>
      </c>
      <c r="I375" s="1" t="s">
        <v>999</v>
      </c>
      <c r="L375" s="1" t="s">
        <v>41</v>
      </c>
      <c r="AJ375" s="2">
        <v>45089</v>
      </c>
    </row>
    <row r="376" spans="1:36">
      <c r="A376" s="1" t="str">
        <f>"Z5F399589E"</f>
        <v>Z5F399589E</v>
      </c>
      <c r="B376" s="1" t="str">
        <f t="shared" si="6"/>
        <v>02406911202</v>
      </c>
      <c r="C376" s="1" t="s">
        <v>13</v>
      </c>
      <c r="D376" s="1" t="s">
        <v>983</v>
      </c>
      <c r="E376" s="1" t="s">
        <v>1008</v>
      </c>
      <c r="F376" s="1" t="s">
        <v>49</v>
      </c>
      <c r="G376" s="1" t="str">
        <f>"02404510378"</f>
        <v>02404510378</v>
      </c>
      <c r="I376" s="1" t="s">
        <v>1009</v>
      </c>
      <c r="L376" s="1" t="s">
        <v>44</v>
      </c>
      <c r="M376" s="1" t="s">
        <v>1010</v>
      </c>
      <c r="AG376" s="1" t="s">
        <v>1010</v>
      </c>
      <c r="AH376" s="2">
        <v>44946</v>
      </c>
      <c r="AI376" s="2">
        <v>44957</v>
      </c>
      <c r="AJ376" s="2">
        <v>44946</v>
      </c>
    </row>
    <row r="377" spans="1:36">
      <c r="A377" s="1" t="str">
        <f>"96062586E0"</f>
        <v>96062586E0</v>
      </c>
      <c r="B377" s="1" t="str">
        <f t="shared" si="6"/>
        <v>02406911202</v>
      </c>
      <c r="C377" s="1" t="s">
        <v>13</v>
      </c>
      <c r="D377" s="1" t="s">
        <v>983</v>
      </c>
      <c r="E377" s="1" t="s">
        <v>1011</v>
      </c>
      <c r="F377" s="1" t="s">
        <v>117</v>
      </c>
      <c r="G377" s="1" t="str">
        <f>"03539261200"</f>
        <v>03539261200</v>
      </c>
      <c r="I377" s="1" t="s">
        <v>1012</v>
      </c>
      <c r="J377" s="1" t="s">
        <v>1013</v>
      </c>
      <c r="K377" s="1" t="s">
        <v>53</v>
      </c>
      <c r="AJ377" s="2">
        <v>44978</v>
      </c>
    </row>
    <row r="378" spans="1:36">
      <c r="A378" s="1" t="str">
        <f>"96062586E0"</f>
        <v>96062586E0</v>
      </c>
      <c r="B378" s="1" t="str">
        <f t="shared" si="6"/>
        <v>02406911202</v>
      </c>
      <c r="C378" s="1" t="s">
        <v>13</v>
      </c>
      <c r="D378" s="1" t="s">
        <v>983</v>
      </c>
      <c r="E378" s="1" t="s">
        <v>1011</v>
      </c>
      <c r="F378" s="1" t="s">
        <v>117</v>
      </c>
      <c r="G378" s="1" t="str">
        <f>"03752581201"</f>
        <v>03752581201</v>
      </c>
      <c r="I378" s="1" t="s">
        <v>1014</v>
      </c>
      <c r="J378" s="1" t="s">
        <v>1013</v>
      </c>
      <c r="K378" s="1" t="s">
        <v>51</v>
      </c>
      <c r="AJ378" s="2">
        <v>44978</v>
      </c>
    </row>
    <row r="379" spans="1:36">
      <c r="A379" s="1" t="str">
        <f>"96062586E0"</f>
        <v>96062586E0</v>
      </c>
      <c r="B379" s="1" t="str">
        <f t="shared" si="6"/>
        <v>02406911202</v>
      </c>
      <c r="C379" s="1" t="s">
        <v>13</v>
      </c>
      <c r="D379" s="1" t="s">
        <v>983</v>
      </c>
      <c r="E379" s="1" t="s">
        <v>1011</v>
      </c>
      <c r="F379" s="1" t="s">
        <v>117</v>
      </c>
      <c r="I379" s="1" t="s">
        <v>1013</v>
      </c>
      <c r="L379" s="1" t="s">
        <v>44</v>
      </c>
      <c r="M379" s="1" t="s">
        <v>1015</v>
      </c>
      <c r="AG379" s="1" t="s">
        <v>1015</v>
      </c>
      <c r="AH379" s="2">
        <v>44945</v>
      </c>
      <c r="AI379" s="2">
        <v>44967</v>
      </c>
      <c r="AJ379" s="2">
        <v>44978</v>
      </c>
    </row>
    <row r="380" spans="1:36">
      <c r="A380" s="1" t="str">
        <f t="shared" ref="A380:A388" si="8">"9621447D3A"</f>
        <v>9621447D3A</v>
      </c>
      <c r="B380" s="1" t="str">
        <f t="shared" si="6"/>
        <v>02406911202</v>
      </c>
      <c r="C380" s="1" t="s">
        <v>13</v>
      </c>
      <c r="D380" s="1" t="s">
        <v>983</v>
      </c>
      <c r="E380" s="1" t="s">
        <v>1016</v>
      </c>
      <c r="F380" s="1" t="s">
        <v>117</v>
      </c>
      <c r="G380" s="1" t="str">
        <f>"01884990381"</f>
        <v>01884990381</v>
      </c>
      <c r="I380" s="1" t="s">
        <v>1017</v>
      </c>
      <c r="J380" s="1" t="s">
        <v>1018</v>
      </c>
      <c r="K380" s="1" t="s">
        <v>53</v>
      </c>
      <c r="AJ380" s="2">
        <v>44959</v>
      </c>
    </row>
    <row r="381" spans="1:36">
      <c r="A381" s="1" t="str">
        <f t="shared" si="8"/>
        <v>9621447D3A</v>
      </c>
      <c r="B381" s="1" t="str">
        <f t="shared" si="6"/>
        <v>02406911202</v>
      </c>
      <c r="C381" s="1" t="s">
        <v>13</v>
      </c>
      <c r="D381" s="1" t="s">
        <v>983</v>
      </c>
      <c r="E381" s="1" t="s">
        <v>1016</v>
      </c>
      <c r="F381" s="1" t="s">
        <v>117</v>
      </c>
      <c r="G381" s="1" t="str">
        <f>"03650151206"</f>
        <v>03650151206</v>
      </c>
      <c r="I381" s="1" t="s">
        <v>1019</v>
      </c>
      <c r="J381" s="1" t="s">
        <v>1018</v>
      </c>
      <c r="K381" s="1" t="s">
        <v>53</v>
      </c>
      <c r="AJ381" s="2">
        <v>44959</v>
      </c>
    </row>
    <row r="382" spans="1:36">
      <c r="A382" s="1" t="str">
        <f t="shared" si="8"/>
        <v>9621447D3A</v>
      </c>
      <c r="B382" s="1" t="str">
        <f t="shared" si="6"/>
        <v>02406911202</v>
      </c>
      <c r="C382" s="1" t="s">
        <v>13</v>
      </c>
      <c r="D382" s="1" t="s">
        <v>983</v>
      </c>
      <c r="E382" s="1" t="s">
        <v>1016</v>
      </c>
      <c r="F382" s="1" t="s">
        <v>117</v>
      </c>
      <c r="G382" s="1" t="str">
        <f>"BLLRRT60L10A191L"</f>
        <v>BLLRRT60L10A191L</v>
      </c>
      <c r="I382" s="1" t="s">
        <v>1020</v>
      </c>
      <c r="J382" s="1" t="s">
        <v>1018</v>
      </c>
      <c r="K382" s="1" t="s">
        <v>51</v>
      </c>
      <c r="AJ382" s="2">
        <v>44959</v>
      </c>
    </row>
    <row r="383" spans="1:36">
      <c r="A383" s="1" t="str">
        <f t="shared" si="8"/>
        <v>9621447D3A</v>
      </c>
      <c r="B383" s="1" t="str">
        <f t="shared" si="6"/>
        <v>02406911202</v>
      </c>
      <c r="C383" s="1" t="s">
        <v>13</v>
      </c>
      <c r="D383" s="1" t="s">
        <v>983</v>
      </c>
      <c r="E383" s="1" t="s">
        <v>1016</v>
      </c>
      <c r="F383" s="1" t="s">
        <v>117</v>
      </c>
      <c r="G383" s="1" t="str">
        <f>"SNGLCA83R51C265N"</f>
        <v>SNGLCA83R51C265N</v>
      </c>
      <c r="I383" s="1" t="s">
        <v>1021</v>
      </c>
      <c r="J383" s="1" t="s">
        <v>1018</v>
      </c>
      <c r="K383" s="1" t="s">
        <v>53</v>
      </c>
      <c r="AJ383" s="2">
        <v>44959</v>
      </c>
    </row>
    <row r="384" spans="1:36">
      <c r="A384" s="1" t="str">
        <f t="shared" si="8"/>
        <v>9621447D3A</v>
      </c>
      <c r="B384" s="1" t="str">
        <f t="shared" si="6"/>
        <v>02406911202</v>
      </c>
      <c r="C384" s="1" t="s">
        <v>13</v>
      </c>
      <c r="D384" s="1" t="s">
        <v>983</v>
      </c>
      <c r="E384" s="1" t="s">
        <v>1016</v>
      </c>
      <c r="F384" s="1" t="s">
        <v>117</v>
      </c>
      <c r="G384" s="1" t="str">
        <f>"03856010370"</f>
        <v>03856010370</v>
      </c>
      <c r="I384" s="1" t="s">
        <v>1022</v>
      </c>
      <c r="J384" s="1" t="s">
        <v>1018</v>
      </c>
      <c r="K384" s="1" t="s">
        <v>53</v>
      </c>
      <c r="AJ384" s="2">
        <v>44959</v>
      </c>
    </row>
    <row r="385" spans="1:36">
      <c r="A385" s="1" t="str">
        <f t="shared" si="8"/>
        <v>9621447D3A</v>
      </c>
      <c r="B385" s="1" t="str">
        <f t="shared" si="6"/>
        <v>02406911202</v>
      </c>
      <c r="C385" s="1" t="s">
        <v>13</v>
      </c>
      <c r="D385" s="1" t="s">
        <v>983</v>
      </c>
      <c r="E385" s="1" t="s">
        <v>1016</v>
      </c>
      <c r="F385" s="1" t="s">
        <v>117</v>
      </c>
      <c r="G385" s="1" t="str">
        <f>"02530590401"</f>
        <v>02530590401</v>
      </c>
      <c r="I385" s="1" t="s">
        <v>1023</v>
      </c>
      <c r="J385" s="1" t="s">
        <v>1018</v>
      </c>
      <c r="K385" s="1" t="s">
        <v>53</v>
      </c>
      <c r="AJ385" s="2">
        <v>44959</v>
      </c>
    </row>
    <row r="386" spans="1:36">
      <c r="A386" s="1" t="str">
        <f t="shared" si="8"/>
        <v>9621447D3A</v>
      </c>
      <c r="B386" s="1" t="str">
        <f t="shared" ref="B386:B449" si="9">"02406911202"</f>
        <v>02406911202</v>
      </c>
      <c r="C386" s="1" t="s">
        <v>13</v>
      </c>
      <c r="D386" s="1" t="s">
        <v>983</v>
      </c>
      <c r="E386" s="1" t="s">
        <v>1016</v>
      </c>
      <c r="F386" s="1" t="s">
        <v>117</v>
      </c>
      <c r="G386" s="1" t="str">
        <f>"CSDLNE79P59D458A"</f>
        <v>CSDLNE79P59D458A</v>
      </c>
      <c r="I386" s="1" t="s">
        <v>1024</v>
      </c>
      <c r="J386" s="1" t="s">
        <v>1018</v>
      </c>
      <c r="K386" s="1" t="s">
        <v>53</v>
      </c>
      <c r="AJ386" s="2">
        <v>44959</v>
      </c>
    </row>
    <row r="387" spans="1:36">
      <c r="A387" s="1" t="str">
        <f t="shared" si="8"/>
        <v>9621447D3A</v>
      </c>
      <c r="B387" s="1" t="str">
        <f t="shared" si="9"/>
        <v>02406911202</v>
      </c>
      <c r="C387" s="1" t="s">
        <v>13</v>
      </c>
      <c r="D387" s="1" t="s">
        <v>983</v>
      </c>
      <c r="E387" s="1" t="s">
        <v>1016</v>
      </c>
      <c r="F387" s="1" t="s">
        <v>117</v>
      </c>
      <c r="G387" s="1" t="str">
        <f>"PLRNDR79D07G916W"</f>
        <v>PLRNDR79D07G916W</v>
      </c>
      <c r="I387" s="1" t="s">
        <v>1025</v>
      </c>
      <c r="J387" s="1" t="s">
        <v>1018</v>
      </c>
      <c r="K387" s="1" t="s">
        <v>53</v>
      </c>
      <c r="AJ387" s="2">
        <v>44959</v>
      </c>
    </row>
    <row r="388" spans="1:36">
      <c r="A388" s="1" t="str">
        <f t="shared" si="8"/>
        <v>9621447D3A</v>
      </c>
      <c r="B388" s="1" t="str">
        <f t="shared" si="9"/>
        <v>02406911202</v>
      </c>
      <c r="C388" s="1" t="s">
        <v>13</v>
      </c>
      <c r="D388" s="1" t="s">
        <v>983</v>
      </c>
      <c r="E388" s="1" t="s">
        <v>1016</v>
      </c>
      <c r="F388" s="1" t="s">
        <v>117</v>
      </c>
      <c r="I388" s="1" t="s">
        <v>1018</v>
      </c>
      <c r="L388" s="1" t="s">
        <v>44</v>
      </c>
      <c r="M388" s="1" t="s">
        <v>1026</v>
      </c>
      <c r="AG388" s="1" t="s">
        <v>1027</v>
      </c>
      <c r="AH388" s="2">
        <v>44946</v>
      </c>
      <c r="AI388" s="2">
        <v>44957</v>
      </c>
      <c r="AJ388" s="2">
        <v>44959</v>
      </c>
    </row>
    <row r="389" spans="1:36">
      <c r="A389" s="1" t="str">
        <f t="shared" ref="A389:A397" si="10">"9621498752"</f>
        <v>9621498752</v>
      </c>
      <c r="B389" s="1" t="str">
        <f t="shared" si="9"/>
        <v>02406911202</v>
      </c>
      <c r="C389" s="1" t="s">
        <v>13</v>
      </c>
      <c r="D389" s="1" t="s">
        <v>983</v>
      </c>
      <c r="E389" s="1" t="s">
        <v>1028</v>
      </c>
      <c r="F389" s="1" t="s">
        <v>165</v>
      </c>
      <c r="G389" s="1" t="str">
        <f>"01884990381"</f>
        <v>01884990381</v>
      </c>
      <c r="I389" s="1" t="s">
        <v>1017</v>
      </c>
      <c r="J389" s="1" t="s">
        <v>1018</v>
      </c>
      <c r="K389" s="1" t="s">
        <v>53</v>
      </c>
      <c r="AJ389" s="2">
        <v>44959</v>
      </c>
    </row>
    <row r="390" spans="1:36">
      <c r="A390" s="1" t="str">
        <f t="shared" si="10"/>
        <v>9621498752</v>
      </c>
      <c r="B390" s="1" t="str">
        <f t="shared" si="9"/>
        <v>02406911202</v>
      </c>
      <c r="C390" s="1" t="s">
        <v>13</v>
      </c>
      <c r="D390" s="1" t="s">
        <v>983</v>
      </c>
      <c r="E390" s="1" t="s">
        <v>1028</v>
      </c>
      <c r="F390" s="1" t="s">
        <v>165</v>
      </c>
      <c r="G390" s="1" t="str">
        <f>"03650151206"</f>
        <v>03650151206</v>
      </c>
      <c r="I390" s="1" t="s">
        <v>1019</v>
      </c>
      <c r="J390" s="1" t="s">
        <v>1018</v>
      </c>
      <c r="K390" s="1" t="s">
        <v>53</v>
      </c>
      <c r="AJ390" s="2">
        <v>44959</v>
      </c>
    </row>
    <row r="391" spans="1:36">
      <c r="A391" s="1" t="str">
        <f t="shared" si="10"/>
        <v>9621498752</v>
      </c>
      <c r="B391" s="1" t="str">
        <f t="shared" si="9"/>
        <v>02406911202</v>
      </c>
      <c r="C391" s="1" t="s">
        <v>13</v>
      </c>
      <c r="D391" s="1" t="s">
        <v>983</v>
      </c>
      <c r="E391" s="1" t="s">
        <v>1028</v>
      </c>
      <c r="F391" s="1" t="s">
        <v>165</v>
      </c>
      <c r="G391" s="1" t="str">
        <f>"BLLRRT60L10A191L"</f>
        <v>BLLRRT60L10A191L</v>
      </c>
      <c r="I391" s="1" t="s">
        <v>1020</v>
      </c>
      <c r="J391" s="1" t="s">
        <v>1018</v>
      </c>
      <c r="K391" s="1" t="s">
        <v>51</v>
      </c>
      <c r="AJ391" s="2">
        <v>44959</v>
      </c>
    </row>
    <row r="392" spans="1:36">
      <c r="A392" s="1" t="str">
        <f t="shared" si="10"/>
        <v>9621498752</v>
      </c>
      <c r="B392" s="1" t="str">
        <f t="shared" si="9"/>
        <v>02406911202</v>
      </c>
      <c r="C392" s="1" t="s">
        <v>13</v>
      </c>
      <c r="D392" s="1" t="s">
        <v>983</v>
      </c>
      <c r="E392" s="1" t="s">
        <v>1028</v>
      </c>
      <c r="F392" s="1" t="s">
        <v>165</v>
      </c>
      <c r="G392" s="1" t="str">
        <f>"SNGLCA83R51C265N"</f>
        <v>SNGLCA83R51C265N</v>
      </c>
      <c r="I392" s="1" t="s">
        <v>1021</v>
      </c>
      <c r="J392" s="1" t="s">
        <v>1018</v>
      </c>
      <c r="K392" s="1" t="s">
        <v>53</v>
      </c>
      <c r="AJ392" s="2">
        <v>44959</v>
      </c>
    </row>
    <row r="393" spans="1:36">
      <c r="A393" s="1" t="str">
        <f t="shared" si="10"/>
        <v>9621498752</v>
      </c>
      <c r="B393" s="1" t="str">
        <f t="shared" si="9"/>
        <v>02406911202</v>
      </c>
      <c r="C393" s="1" t="s">
        <v>13</v>
      </c>
      <c r="D393" s="1" t="s">
        <v>983</v>
      </c>
      <c r="E393" s="1" t="s">
        <v>1028</v>
      </c>
      <c r="F393" s="1" t="s">
        <v>165</v>
      </c>
      <c r="G393" s="1" t="str">
        <f>"03856010370"</f>
        <v>03856010370</v>
      </c>
      <c r="I393" s="1" t="s">
        <v>1022</v>
      </c>
      <c r="J393" s="1" t="s">
        <v>1018</v>
      </c>
      <c r="K393" s="1" t="s">
        <v>53</v>
      </c>
      <c r="AJ393" s="2">
        <v>44959</v>
      </c>
    </row>
    <row r="394" spans="1:36">
      <c r="A394" s="1" t="str">
        <f t="shared" si="10"/>
        <v>9621498752</v>
      </c>
      <c r="B394" s="1" t="str">
        <f t="shared" si="9"/>
        <v>02406911202</v>
      </c>
      <c r="C394" s="1" t="s">
        <v>13</v>
      </c>
      <c r="D394" s="1" t="s">
        <v>983</v>
      </c>
      <c r="E394" s="1" t="s">
        <v>1028</v>
      </c>
      <c r="F394" s="1" t="s">
        <v>165</v>
      </c>
      <c r="G394" s="1" t="str">
        <f>"02530590401"</f>
        <v>02530590401</v>
      </c>
      <c r="I394" s="1" t="s">
        <v>1023</v>
      </c>
      <c r="J394" s="1" t="s">
        <v>1018</v>
      </c>
      <c r="K394" s="1" t="s">
        <v>53</v>
      </c>
      <c r="AJ394" s="2">
        <v>44959</v>
      </c>
    </row>
    <row r="395" spans="1:36">
      <c r="A395" s="1" t="str">
        <f t="shared" si="10"/>
        <v>9621498752</v>
      </c>
      <c r="B395" s="1" t="str">
        <f t="shared" si="9"/>
        <v>02406911202</v>
      </c>
      <c r="C395" s="1" t="s">
        <v>13</v>
      </c>
      <c r="D395" s="1" t="s">
        <v>983</v>
      </c>
      <c r="E395" s="1" t="s">
        <v>1028</v>
      </c>
      <c r="F395" s="1" t="s">
        <v>165</v>
      </c>
      <c r="G395" s="1" t="str">
        <f>"CSDLNE79P59D458A"</f>
        <v>CSDLNE79P59D458A</v>
      </c>
      <c r="I395" s="1" t="s">
        <v>1024</v>
      </c>
      <c r="J395" s="1" t="s">
        <v>1018</v>
      </c>
      <c r="K395" s="1" t="s">
        <v>53</v>
      </c>
      <c r="AJ395" s="2">
        <v>44959</v>
      </c>
    </row>
    <row r="396" spans="1:36">
      <c r="A396" s="1" t="str">
        <f t="shared" si="10"/>
        <v>9621498752</v>
      </c>
      <c r="B396" s="1" t="str">
        <f t="shared" si="9"/>
        <v>02406911202</v>
      </c>
      <c r="C396" s="1" t="s">
        <v>13</v>
      </c>
      <c r="D396" s="1" t="s">
        <v>983</v>
      </c>
      <c r="E396" s="1" t="s">
        <v>1028</v>
      </c>
      <c r="F396" s="1" t="s">
        <v>165</v>
      </c>
      <c r="G396" s="1" t="str">
        <f>"PLRNDR79D07G916W"</f>
        <v>PLRNDR79D07G916W</v>
      </c>
      <c r="I396" s="1" t="s">
        <v>1025</v>
      </c>
      <c r="J396" s="1" t="s">
        <v>1018</v>
      </c>
      <c r="K396" s="1" t="s">
        <v>53</v>
      </c>
      <c r="AJ396" s="2">
        <v>44959</v>
      </c>
    </row>
    <row r="397" spans="1:36">
      <c r="A397" s="1" t="str">
        <f t="shared" si="10"/>
        <v>9621498752</v>
      </c>
      <c r="B397" s="1" t="str">
        <f t="shared" si="9"/>
        <v>02406911202</v>
      </c>
      <c r="C397" s="1" t="s">
        <v>13</v>
      </c>
      <c r="D397" s="1" t="s">
        <v>983</v>
      </c>
      <c r="E397" s="1" t="s">
        <v>1028</v>
      </c>
      <c r="F397" s="1" t="s">
        <v>165</v>
      </c>
      <c r="I397" s="1" t="s">
        <v>1018</v>
      </c>
      <c r="L397" s="1" t="s">
        <v>44</v>
      </c>
      <c r="M397" s="1" t="s">
        <v>1026</v>
      </c>
      <c r="AG397" s="1" t="s">
        <v>1027</v>
      </c>
      <c r="AH397" s="2">
        <v>44946</v>
      </c>
      <c r="AI397" s="2">
        <v>44957</v>
      </c>
      <c r="AJ397" s="2">
        <v>44959</v>
      </c>
    </row>
    <row r="398" spans="1:36">
      <c r="A398" s="1" t="str">
        <f>"ZEC39A76AE"</f>
        <v>ZEC39A76AE</v>
      </c>
      <c r="B398" s="1" t="str">
        <f t="shared" si="9"/>
        <v>02406911202</v>
      </c>
      <c r="C398" s="1" t="s">
        <v>13</v>
      </c>
      <c r="D398" s="1" t="s">
        <v>983</v>
      </c>
      <c r="E398" s="1" t="s">
        <v>1029</v>
      </c>
      <c r="F398" s="1" t="s">
        <v>99</v>
      </c>
      <c r="G398" s="1" t="str">
        <f>"02252491200"</f>
        <v>02252491200</v>
      </c>
      <c r="I398" s="1" t="s">
        <v>1030</v>
      </c>
      <c r="L398" s="1" t="s">
        <v>44</v>
      </c>
      <c r="M398" s="1" t="s">
        <v>1031</v>
      </c>
      <c r="AG398" s="1" t="s">
        <v>124</v>
      </c>
      <c r="AH398" s="2">
        <v>44987</v>
      </c>
      <c r="AI398" s="2">
        <v>45138</v>
      </c>
      <c r="AJ398" s="2">
        <v>44952</v>
      </c>
    </row>
    <row r="399" spans="1:36">
      <c r="A399" s="1" t="str">
        <f>"Z2439ABC50"</f>
        <v>Z2439ABC50</v>
      </c>
      <c r="B399" s="1" t="str">
        <f t="shared" si="9"/>
        <v>02406911202</v>
      </c>
      <c r="C399" s="1" t="s">
        <v>13</v>
      </c>
      <c r="D399" s="1" t="s">
        <v>983</v>
      </c>
      <c r="E399" s="1" t="s">
        <v>1032</v>
      </c>
      <c r="F399" s="1" t="s">
        <v>49</v>
      </c>
      <c r="G399" s="1" t="str">
        <f>"04299810269"</f>
        <v>04299810269</v>
      </c>
      <c r="I399" s="1" t="s">
        <v>1033</v>
      </c>
      <c r="L399" s="1" t="s">
        <v>44</v>
      </c>
      <c r="M399" s="1" t="s">
        <v>1034</v>
      </c>
      <c r="AG399" s="1" t="s">
        <v>124</v>
      </c>
      <c r="AH399" s="2">
        <v>44971</v>
      </c>
      <c r="AI399" s="2">
        <v>45141</v>
      </c>
      <c r="AJ399" s="2">
        <v>44971</v>
      </c>
    </row>
    <row r="400" spans="1:36">
      <c r="A400" s="1" t="str">
        <f>"9574067207"</f>
        <v>9574067207</v>
      </c>
      <c r="B400" s="1" t="str">
        <f t="shared" si="9"/>
        <v>02406911202</v>
      </c>
      <c r="C400" s="1" t="s">
        <v>13</v>
      </c>
      <c r="D400" s="1" t="s">
        <v>983</v>
      </c>
      <c r="E400" s="1" t="s">
        <v>1035</v>
      </c>
      <c r="F400" s="1" t="s">
        <v>99</v>
      </c>
      <c r="G400" s="1" t="str">
        <f>"00718830292"</f>
        <v>00718830292</v>
      </c>
      <c r="I400" s="1" t="s">
        <v>1036</v>
      </c>
      <c r="L400" s="1" t="s">
        <v>44</v>
      </c>
      <c r="M400" s="1" t="s">
        <v>1037</v>
      </c>
      <c r="AG400" s="1" t="s">
        <v>124</v>
      </c>
      <c r="AH400" s="2">
        <v>44984</v>
      </c>
      <c r="AI400" s="2">
        <v>45148</v>
      </c>
      <c r="AJ400" s="2">
        <v>44984</v>
      </c>
    </row>
    <row r="401" spans="1:36">
      <c r="A401" s="1" t="str">
        <f>"9629101983"</f>
        <v>9629101983</v>
      </c>
      <c r="B401" s="1" t="str">
        <f t="shared" si="9"/>
        <v>02406911202</v>
      </c>
      <c r="C401" s="1" t="s">
        <v>13</v>
      </c>
      <c r="D401" s="1" t="s">
        <v>983</v>
      </c>
      <c r="E401" s="1" t="s">
        <v>1038</v>
      </c>
      <c r="F401" s="1" t="s">
        <v>117</v>
      </c>
      <c r="G401" s="1" t="str">
        <f>"03214610242"</f>
        <v>03214610242</v>
      </c>
      <c r="I401" s="1" t="s">
        <v>1039</v>
      </c>
      <c r="J401" s="1" t="s">
        <v>1040</v>
      </c>
      <c r="K401" s="1" t="s">
        <v>51</v>
      </c>
      <c r="AJ401" s="2">
        <v>44986</v>
      </c>
    </row>
    <row r="402" spans="1:36">
      <c r="A402" s="1" t="str">
        <f>"9629101983"</f>
        <v>9629101983</v>
      </c>
      <c r="B402" s="1" t="str">
        <f t="shared" si="9"/>
        <v>02406911202</v>
      </c>
      <c r="C402" s="1" t="s">
        <v>13</v>
      </c>
      <c r="D402" s="1" t="s">
        <v>983</v>
      </c>
      <c r="E402" s="1" t="s">
        <v>1038</v>
      </c>
      <c r="F402" s="1" t="s">
        <v>117</v>
      </c>
      <c r="G402" s="1" t="str">
        <f>"00203980396"</f>
        <v>00203980396</v>
      </c>
      <c r="I402" s="1" t="s">
        <v>1041</v>
      </c>
      <c r="J402" s="1" t="s">
        <v>1040</v>
      </c>
      <c r="K402" s="1" t="s">
        <v>53</v>
      </c>
      <c r="AJ402" s="2">
        <v>44986</v>
      </c>
    </row>
    <row r="403" spans="1:36">
      <c r="A403" s="1" t="str">
        <f>"9629101983"</f>
        <v>9629101983</v>
      </c>
      <c r="B403" s="1" t="str">
        <f t="shared" si="9"/>
        <v>02406911202</v>
      </c>
      <c r="C403" s="1" t="s">
        <v>13</v>
      </c>
      <c r="D403" s="1" t="s">
        <v>983</v>
      </c>
      <c r="E403" s="1" t="s">
        <v>1038</v>
      </c>
      <c r="F403" s="1" t="s">
        <v>117</v>
      </c>
      <c r="G403" s="1" t="str">
        <f>"02121230391"</f>
        <v>02121230391</v>
      </c>
      <c r="I403" s="1" t="s">
        <v>1042</v>
      </c>
      <c r="J403" s="1" t="s">
        <v>1040</v>
      </c>
      <c r="K403" s="1" t="s">
        <v>53</v>
      </c>
      <c r="AJ403" s="2">
        <v>44986</v>
      </c>
    </row>
    <row r="404" spans="1:36">
      <c r="A404" s="1" t="str">
        <f>"9629101983"</f>
        <v>9629101983</v>
      </c>
      <c r="B404" s="1" t="str">
        <f t="shared" si="9"/>
        <v>02406911202</v>
      </c>
      <c r="C404" s="1" t="s">
        <v>13</v>
      </c>
      <c r="D404" s="1" t="s">
        <v>983</v>
      </c>
      <c r="E404" s="1" t="s">
        <v>1038</v>
      </c>
      <c r="F404" s="1" t="s">
        <v>117</v>
      </c>
      <c r="I404" s="1" t="s">
        <v>1040</v>
      </c>
      <c r="L404" s="1" t="s">
        <v>44</v>
      </c>
      <c r="M404" s="1" t="s">
        <v>1043</v>
      </c>
      <c r="AG404" s="1" t="s">
        <v>124</v>
      </c>
      <c r="AH404" s="2">
        <v>44977</v>
      </c>
      <c r="AI404" s="2">
        <v>45176</v>
      </c>
      <c r="AJ404" s="2">
        <v>44986</v>
      </c>
    </row>
    <row r="405" spans="1:36">
      <c r="A405" s="1" t="str">
        <f>"ZD039B8982"</f>
        <v>ZD039B8982</v>
      </c>
      <c r="B405" s="1" t="str">
        <f t="shared" si="9"/>
        <v>02406911202</v>
      </c>
      <c r="C405" s="1" t="s">
        <v>13</v>
      </c>
      <c r="D405" s="1" t="s">
        <v>983</v>
      </c>
      <c r="E405" s="1" t="s">
        <v>1044</v>
      </c>
      <c r="F405" s="1" t="s">
        <v>49</v>
      </c>
      <c r="G405" s="1" t="str">
        <f>"03407121205"</f>
        <v>03407121205</v>
      </c>
      <c r="I405" s="1" t="s">
        <v>1045</v>
      </c>
      <c r="L405" s="1" t="s">
        <v>44</v>
      </c>
      <c r="M405" s="1" t="s">
        <v>1046</v>
      </c>
      <c r="AG405" s="1" t="s">
        <v>124</v>
      </c>
      <c r="AH405" s="2">
        <v>45057</v>
      </c>
      <c r="AI405" s="2">
        <v>45210</v>
      </c>
      <c r="AJ405" s="2">
        <v>45050</v>
      </c>
    </row>
    <row r="406" spans="1:36">
      <c r="A406" s="1" t="str">
        <f t="shared" ref="A406:A414" si="11">"9627087B81"</f>
        <v>9627087B81</v>
      </c>
      <c r="B406" s="1" t="str">
        <f t="shared" si="9"/>
        <v>02406911202</v>
      </c>
      <c r="C406" s="1" t="s">
        <v>13</v>
      </c>
      <c r="D406" s="1" t="s">
        <v>983</v>
      </c>
      <c r="E406" s="1" t="s">
        <v>1047</v>
      </c>
      <c r="F406" s="1" t="s">
        <v>117</v>
      </c>
      <c r="G406" s="1" t="str">
        <f>"01884990381"</f>
        <v>01884990381</v>
      </c>
      <c r="I406" s="1" t="s">
        <v>1017</v>
      </c>
      <c r="J406" s="1" t="s">
        <v>1018</v>
      </c>
      <c r="K406" s="1" t="s">
        <v>53</v>
      </c>
      <c r="AJ406" s="2">
        <v>44959</v>
      </c>
    </row>
    <row r="407" spans="1:36">
      <c r="A407" s="1" t="str">
        <f t="shared" si="11"/>
        <v>9627087B81</v>
      </c>
      <c r="B407" s="1" t="str">
        <f t="shared" si="9"/>
        <v>02406911202</v>
      </c>
      <c r="C407" s="1" t="s">
        <v>13</v>
      </c>
      <c r="D407" s="1" t="s">
        <v>983</v>
      </c>
      <c r="E407" s="1" t="s">
        <v>1047</v>
      </c>
      <c r="F407" s="1" t="s">
        <v>117</v>
      </c>
      <c r="G407" s="1" t="str">
        <f>"03650151206"</f>
        <v>03650151206</v>
      </c>
      <c r="I407" s="1" t="s">
        <v>1019</v>
      </c>
      <c r="J407" s="1" t="s">
        <v>1018</v>
      </c>
      <c r="K407" s="1" t="s">
        <v>53</v>
      </c>
      <c r="AJ407" s="2">
        <v>44959</v>
      </c>
    </row>
    <row r="408" spans="1:36">
      <c r="A408" s="1" t="str">
        <f t="shared" si="11"/>
        <v>9627087B81</v>
      </c>
      <c r="B408" s="1" t="str">
        <f t="shared" si="9"/>
        <v>02406911202</v>
      </c>
      <c r="C408" s="1" t="s">
        <v>13</v>
      </c>
      <c r="D408" s="1" t="s">
        <v>983</v>
      </c>
      <c r="E408" s="1" t="s">
        <v>1047</v>
      </c>
      <c r="F408" s="1" t="s">
        <v>117</v>
      </c>
      <c r="G408" s="1" t="str">
        <f>"BLLRRT60L10A191L"</f>
        <v>BLLRRT60L10A191L</v>
      </c>
      <c r="I408" s="1" t="s">
        <v>1020</v>
      </c>
      <c r="J408" s="1" t="s">
        <v>1018</v>
      </c>
      <c r="K408" s="1" t="s">
        <v>51</v>
      </c>
      <c r="AJ408" s="2">
        <v>44959</v>
      </c>
    </row>
    <row r="409" spans="1:36">
      <c r="A409" s="1" t="str">
        <f t="shared" si="11"/>
        <v>9627087B81</v>
      </c>
      <c r="B409" s="1" t="str">
        <f t="shared" si="9"/>
        <v>02406911202</v>
      </c>
      <c r="C409" s="1" t="s">
        <v>13</v>
      </c>
      <c r="D409" s="1" t="s">
        <v>983</v>
      </c>
      <c r="E409" s="1" t="s">
        <v>1047</v>
      </c>
      <c r="F409" s="1" t="s">
        <v>117</v>
      </c>
      <c r="G409" s="1" t="str">
        <f>"SNGLCA83R51C265N"</f>
        <v>SNGLCA83R51C265N</v>
      </c>
      <c r="I409" s="1" t="s">
        <v>1021</v>
      </c>
      <c r="J409" s="1" t="s">
        <v>1018</v>
      </c>
      <c r="K409" s="1" t="s">
        <v>53</v>
      </c>
      <c r="AJ409" s="2">
        <v>44959</v>
      </c>
    </row>
    <row r="410" spans="1:36">
      <c r="A410" s="1" t="str">
        <f t="shared" si="11"/>
        <v>9627087B81</v>
      </c>
      <c r="B410" s="1" t="str">
        <f t="shared" si="9"/>
        <v>02406911202</v>
      </c>
      <c r="C410" s="1" t="s">
        <v>13</v>
      </c>
      <c r="D410" s="1" t="s">
        <v>983</v>
      </c>
      <c r="E410" s="1" t="s">
        <v>1047</v>
      </c>
      <c r="F410" s="1" t="s">
        <v>117</v>
      </c>
      <c r="G410" s="1" t="str">
        <f>"03856010370"</f>
        <v>03856010370</v>
      </c>
      <c r="I410" s="1" t="s">
        <v>1022</v>
      </c>
      <c r="J410" s="1" t="s">
        <v>1018</v>
      </c>
      <c r="K410" s="1" t="s">
        <v>53</v>
      </c>
      <c r="AJ410" s="2">
        <v>44959</v>
      </c>
    </row>
    <row r="411" spans="1:36">
      <c r="A411" s="1" t="str">
        <f t="shared" si="11"/>
        <v>9627087B81</v>
      </c>
      <c r="B411" s="1" t="str">
        <f t="shared" si="9"/>
        <v>02406911202</v>
      </c>
      <c r="C411" s="1" t="s">
        <v>13</v>
      </c>
      <c r="D411" s="1" t="s">
        <v>983</v>
      </c>
      <c r="E411" s="1" t="s">
        <v>1047</v>
      </c>
      <c r="F411" s="1" t="s">
        <v>117</v>
      </c>
      <c r="G411" s="1" t="str">
        <f>"02530590401"</f>
        <v>02530590401</v>
      </c>
      <c r="I411" s="1" t="s">
        <v>1023</v>
      </c>
      <c r="J411" s="1" t="s">
        <v>1018</v>
      </c>
      <c r="K411" s="1" t="s">
        <v>53</v>
      </c>
      <c r="AJ411" s="2">
        <v>44959</v>
      </c>
    </row>
    <row r="412" spans="1:36">
      <c r="A412" s="1" t="str">
        <f t="shared" si="11"/>
        <v>9627087B81</v>
      </c>
      <c r="B412" s="1" t="str">
        <f t="shared" si="9"/>
        <v>02406911202</v>
      </c>
      <c r="C412" s="1" t="s">
        <v>13</v>
      </c>
      <c r="D412" s="1" t="s">
        <v>983</v>
      </c>
      <c r="E412" s="1" t="s">
        <v>1047</v>
      </c>
      <c r="F412" s="1" t="s">
        <v>117</v>
      </c>
      <c r="G412" s="1" t="str">
        <f>"CSDLNE79P59D458A"</f>
        <v>CSDLNE79P59D458A</v>
      </c>
      <c r="I412" s="1" t="s">
        <v>1024</v>
      </c>
      <c r="J412" s="1" t="s">
        <v>1018</v>
      </c>
      <c r="K412" s="1" t="s">
        <v>53</v>
      </c>
      <c r="AJ412" s="2">
        <v>44959</v>
      </c>
    </row>
    <row r="413" spans="1:36">
      <c r="A413" s="1" t="str">
        <f t="shared" si="11"/>
        <v>9627087B81</v>
      </c>
      <c r="B413" s="1" t="str">
        <f t="shared" si="9"/>
        <v>02406911202</v>
      </c>
      <c r="C413" s="1" t="s">
        <v>13</v>
      </c>
      <c r="D413" s="1" t="s">
        <v>983</v>
      </c>
      <c r="E413" s="1" t="s">
        <v>1047</v>
      </c>
      <c r="F413" s="1" t="s">
        <v>117</v>
      </c>
      <c r="G413" s="1" t="str">
        <f>"PLRNDR79D07G916W"</f>
        <v>PLRNDR79D07G916W</v>
      </c>
      <c r="I413" s="1" t="s">
        <v>1025</v>
      </c>
      <c r="J413" s="1" t="s">
        <v>1018</v>
      </c>
      <c r="K413" s="1" t="s">
        <v>53</v>
      </c>
      <c r="AJ413" s="2">
        <v>44959</v>
      </c>
    </row>
    <row r="414" spans="1:36">
      <c r="A414" s="1" t="str">
        <f t="shared" si="11"/>
        <v>9627087B81</v>
      </c>
      <c r="B414" s="1" t="str">
        <f t="shared" si="9"/>
        <v>02406911202</v>
      </c>
      <c r="C414" s="1" t="s">
        <v>13</v>
      </c>
      <c r="D414" s="1" t="s">
        <v>983</v>
      </c>
      <c r="E414" s="1" t="s">
        <v>1047</v>
      </c>
      <c r="F414" s="1" t="s">
        <v>117</v>
      </c>
      <c r="I414" s="1" t="s">
        <v>1018</v>
      </c>
      <c r="L414" s="1" t="s">
        <v>44</v>
      </c>
      <c r="M414" s="1" t="s">
        <v>1048</v>
      </c>
      <c r="AG414" s="1" t="s">
        <v>124</v>
      </c>
      <c r="AH414" s="2">
        <v>44957</v>
      </c>
      <c r="AI414" s="2">
        <v>44957</v>
      </c>
      <c r="AJ414" s="2">
        <v>44959</v>
      </c>
    </row>
    <row r="415" spans="1:36">
      <c r="A415" s="1" t="str">
        <f t="shared" ref="A415:A423" si="12">"96290130E7"</f>
        <v>96290130E7</v>
      </c>
      <c r="B415" s="1" t="str">
        <f t="shared" si="9"/>
        <v>02406911202</v>
      </c>
      <c r="C415" s="1" t="s">
        <v>13</v>
      </c>
      <c r="D415" s="1" t="s">
        <v>983</v>
      </c>
      <c r="E415" s="1" t="s">
        <v>1049</v>
      </c>
      <c r="F415" s="1" t="s">
        <v>117</v>
      </c>
      <c r="G415" s="1" t="str">
        <f>"01884990381"</f>
        <v>01884990381</v>
      </c>
      <c r="I415" s="1" t="s">
        <v>1017</v>
      </c>
      <c r="J415" s="1" t="s">
        <v>1018</v>
      </c>
      <c r="K415" s="1" t="s">
        <v>53</v>
      </c>
      <c r="AJ415" s="2">
        <v>44959</v>
      </c>
    </row>
    <row r="416" spans="1:36">
      <c r="A416" s="1" t="str">
        <f t="shared" si="12"/>
        <v>96290130E7</v>
      </c>
      <c r="B416" s="1" t="str">
        <f t="shared" si="9"/>
        <v>02406911202</v>
      </c>
      <c r="C416" s="1" t="s">
        <v>13</v>
      </c>
      <c r="D416" s="1" t="s">
        <v>983</v>
      </c>
      <c r="E416" s="1" t="s">
        <v>1049</v>
      </c>
      <c r="F416" s="1" t="s">
        <v>117</v>
      </c>
      <c r="G416" s="1" t="str">
        <f>"03650151206"</f>
        <v>03650151206</v>
      </c>
      <c r="I416" s="1" t="s">
        <v>1019</v>
      </c>
      <c r="J416" s="1" t="s">
        <v>1018</v>
      </c>
      <c r="K416" s="1" t="s">
        <v>53</v>
      </c>
      <c r="AJ416" s="2">
        <v>44959</v>
      </c>
    </row>
    <row r="417" spans="1:36">
      <c r="A417" s="1" t="str">
        <f t="shared" si="12"/>
        <v>96290130E7</v>
      </c>
      <c r="B417" s="1" t="str">
        <f t="shared" si="9"/>
        <v>02406911202</v>
      </c>
      <c r="C417" s="1" t="s">
        <v>13</v>
      </c>
      <c r="D417" s="1" t="s">
        <v>983</v>
      </c>
      <c r="E417" s="1" t="s">
        <v>1049</v>
      </c>
      <c r="F417" s="1" t="s">
        <v>117</v>
      </c>
      <c r="G417" s="1" t="str">
        <f>"BLLRRT60L10A191L"</f>
        <v>BLLRRT60L10A191L</v>
      </c>
      <c r="I417" s="1" t="s">
        <v>1020</v>
      </c>
      <c r="J417" s="1" t="s">
        <v>1018</v>
      </c>
      <c r="K417" s="1" t="s">
        <v>51</v>
      </c>
      <c r="AJ417" s="2">
        <v>44959</v>
      </c>
    </row>
    <row r="418" spans="1:36">
      <c r="A418" s="1" t="str">
        <f t="shared" si="12"/>
        <v>96290130E7</v>
      </c>
      <c r="B418" s="1" t="str">
        <f t="shared" si="9"/>
        <v>02406911202</v>
      </c>
      <c r="C418" s="1" t="s">
        <v>13</v>
      </c>
      <c r="D418" s="1" t="s">
        <v>983</v>
      </c>
      <c r="E418" s="1" t="s">
        <v>1049</v>
      </c>
      <c r="F418" s="1" t="s">
        <v>117</v>
      </c>
      <c r="G418" s="1" t="str">
        <f>"SNGLCA83R51C265N"</f>
        <v>SNGLCA83R51C265N</v>
      </c>
      <c r="I418" s="1" t="s">
        <v>1021</v>
      </c>
      <c r="J418" s="1" t="s">
        <v>1018</v>
      </c>
      <c r="K418" s="1" t="s">
        <v>53</v>
      </c>
      <c r="AJ418" s="2">
        <v>44959</v>
      </c>
    </row>
    <row r="419" spans="1:36">
      <c r="A419" s="1" t="str">
        <f t="shared" si="12"/>
        <v>96290130E7</v>
      </c>
      <c r="B419" s="1" t="str">
        <f t="shared" si="9"/>
        <v>02406911202</v>
      </c>
      <c r="C419" s="1" t="s">
        <v>13</v>
      </c>
      <c r="D419" s="1" t="s">
        <v>983</v>
      </c>
      <c r="E419" s="1" t="s">
        <v>1049</v>
      </c>
      <c r="F419" s="1" t="s">
        <v>117</v>
      </c>
      <c r="G419" s="1" t="str">
        <f>"03856010370"</f>
        <v>03856010370</v>
      </c>
      <c r="I419" s="1" t="s">
        <v>1022</v>
      </c>
      <c r="J419" s="1" t="s">
        <v>1018</v>
      </c>
      <c r="K419" s="1" t="s">
        <v>53</v>
      </c>
      <c r="AJ419" s="2">
        <v>44959</v>
      </c>
    </row>
    <row r="420" spans="1:36">
      <c r="A420" s="1" t="str">
        <f t="shared" si="12"/>
        <v>96290130E7</v>
      </c>
      <c r="B420" s="1" t="str">
        <f t="shared" si="9"/>
        <v>02406911202</v>
      </c>
      <c r="C420" s="1" t="s">
        <v>13</v>
      </c>
      <c r="D420" s="1" t="s">
        <v>983</v>
      </c>
      <c r="E420" s="1" t="s">
        <v>1049</v>
      </c>
      <c r="F420" s="1" t="s">
        <v>117</v>
      </c>
      <c r="G420" s="1" t="str">
        <f>"02530590401"</f>
        <v>02530590401</v>
      </c>
      <c r="I420" s="1" t="s">
        <v>1023</v>
      </c>
      <c r="J420" s="1" t="s">
        <v>1018</v>
      </c>
      <c r="K420" s="1" t="s">
        <v>53</v>
      </c>
      <c r="AJ420" s="2">
        <v>44959</v>
      </c>
    </row>
    <row r="421" spans="1:36">
      <c r="A421" s="1" t="str">
        <f t="shared" si="12"/>
        <v>96290130E7</v>
      </c>
      <c r="B421" s="1" t="str">
        <f t="shared" si="9"/>
        <v>02406911202</v>
      </c>
      <c r="C421" s="1" t="s">
        <v>13</v>
      </c>
      <c r="D421" s="1" t="s">
        <v>983</v>
      </c>
      <c r="E421" s="1" t="s">
        <v>1049</v>
      </c>
      <c r="F421" s="1" t="s">
        <v>117</v>
      </c>
      <c r="G421" s="1" t="str">
        <f>"CSDLNE79P59D458A"</f>
        <v>CSDLNE79P59D458A</v>
      </c>
      <c r="I421" s="1" t="s">
        <v>1024</v>
      </c>
      <c r="J421" s="1" t="s">
        <v>1018</v>
      </c>
      <c r="K421" s="1" t="s">
        <v>53</v>
      </c>
      <c r="AJ421" s="2">
        <v>44959</v>
      </c>
    </row>
    <row r="422" spans="1:36">
      <c r="A422" s="1" t="str">
        <f t="shared" si="12"/>
        <v>96290130E7</v>
      </c>
      <c r="B422" s="1" t="str">
        <f t="shared" si="9"/>
        <v>02406911202</v>
      </c>
      <c r="C422" s="1" t="s">
        <v>13</v>
      </c>
      <c r="D422" s="1" t="s">
        <v>983</v>
      </c>
      <c r="E422" s="1" t="s">
        <v>1049</v>
      </c>
      <c r="F422" s="1" t="s">
        <v>117</v>
      </c>
      <c r="G422" s="1" t="str">
        <f>"PLRNDR79D07G916W"</f>
        <v>PLRNDR79D07G916W</v>
      </c>
      <c r="I422" s="1" t="s">
        <v>1025</v>
      </c>
      <c r="J422" s="1" t="s">
        <v>1018</v>
      </c>
      <c r="K422" s="1" t="s">
        <v>53</v>
      </c>
      <c r="AJ422" s="2">
        <v>44959</v>
      </c>
    </row>
    <row r="423" spans="1:36">
      <c r="A423" s="1" t="str">
        <f t="shared" si="12"/>
        <v>96290130E7</v>
      </c>
      <c r="B423" s="1" t="str">
        <f t="shared" si="9"/>
        <v>02406911202</v>
      </c>
      <c r="C423" s="1" t="s">
        <v>13</v>
      </c>
      <c r="D423" s="1" t="s">
        <v>983</v>
      </c>
      <c r="E423" s="1" t="s">
        <v>1049</v>
      </c>
      <c r="F423" s="1" t="s">
        <v>117</v>
      </c>
      <c r="I423" s="1" t="s">
        <v>1018</v>
      </c>
      <c r="L423" s="1" t="s">
        <v>44</v>
      </c>
      <c r="M423" s="1" t="s">
        <v>1048</v>
      </c>
      <c r="AG423" s="1" t="s">
        <v>124</v>
      </c>
      <c r="AH423" s="2">
        <v>44957</v>
      </c>
      <c r="AI423" s="2">
        <v>44987</v>
      </c>
      <c r="AJ423" s="2">
        <v>44959</v>
      </c>
    </row>
    <row r="424" spans="1:36">
      <c r="A424" s="1" t="str">
        <f t="shared" ref="A424:A432" si="13">"9629067D73"</f>
        <v>9629067D73</v>
      </c>
      <c r="B424" s="1" t="str">
        <f t="shared" si="9"/>
        <v>02406911202</v>
      </c>
      <c r="C424" s="1" t="s">
        <v>13</v>
      </c>
      <c r="D424" s="1" t="s">
        <v>983</v>
      </c>
      <c r="E424" s="1" t="s">
        <v>1050</v>
      </c>
      <c r="F424" s="1" t="s">
        <v>117</v>
      </c>
      <c r="G424" s="1" t="str">
        <f>"01884990381"</f>
        <v>01884990381</v>
      </c>
      <c r="I424" s="1" t="s">
        <v>1017</v>
      </c>
      <c r="J424" s="1" t="s">
        <v>1018</v>
      </c>
      <c r="K424" s="1" t="s">
        <v>53</v>
      </c>
      <c r="AJ424" s="2">
        <v>44959</v>
      </c>
    </row>
    <row r="425" spans="1:36">
      <c r="A425" s="1" t="str">
        <f t="shared" si="13"/>
        <v>9629067D73</v>
      </c>
      <c r="B425" s="1" t="str">
        <f t="shared" si="9"/>
        <v>02406911202</v>
      </c>
      <c r="C425" s="1" t="s">
        <v>13</v>
      </c>
      <c r="D425" s="1" t="s">
        <v>983</v>
      </c>
      <c r="E425" s="1" t="s">
        <v>1050</v>
      </c>
      <c r="F425" s="1" t="s">
        <v>117</v>
      </c>
      <c r="G425" s="1" t="str">
        <f>"03650151206"</f>
        <v>03650151206</v>
      </c>
      <c r="I425" s="1" t="s">
        <v>1019</v>
      </c>
      <c r="J425" s="1" t="s">
        <v>1018</v>
      </c>
      <c r="K425" s="1" t="s">
        <v>53</v>
      </c>
      <c r="AJ425" s="2">
        <v>44959</v>
      </c>
    </row>
    <row r="426" spans="1:36">
      <c r="A426" s="1" t="str">
        <f t="shared" si="13"/>
        <v>9629067D73</v>
      </c>
      <c r="B426" s="1" t="str">
        <f t="shared" si="9"/>
        <v>02406911202</v>
      </c>
      <c r="C426" s="1" t="s">
        <v>13</v>
      </c>
      <c r="D426" s="1" t="s">
        <v>983</v>
      </c>
      <c r="E426" s="1" t="s">
        <v>1050</v>
      </c>
      <c r="F426" s="1" t="s">
        <v>117</v>
      </c>
      <c r="G426" s="1" t="str">
        <f>"BLLRRT60L10A191L"</f>
        <v>BLLRRT60L10A191L</v>
      </c>
      <c r="I426" s="1" t="s">
        <v>1020</v>
      </c>
      <c r="J426" s="1" t="s">
        <v>1018</v>
      </c>
      <c r="K426" s="1" t="s">
        <v>51</v>
      </c>
      <c r="AJ426" s="2">
        <v>44959</v>
      </c>
    </row>
    <row r="427" spans="1:36">
      <c r="A427" s="1" t="str">
        <f t="shared" si="13"/>
        <v>9629067D73</v>
      </c>
      <c r="B427" s="1" t="str">
        <f t="shared" si="9"/>
        <v>02406911202</v>
      </c>
      <c r="C427" s="1" t="s">
        <v>13</v>
      </c>
      <c r="D427" s="1" t="s">
        <v>983</v>
      </c>
      <c r="E427" s="1" t="s">
        <v>1050</v>
      </c>
      <c r="F427" s="1" t="s">
        <v>117</v>
      </c>
      <c r="G427" s="1" t="str">
        <f>"SNGLCA83R51C265N"</f>
        <v>SNGLCA83R51C265N</v>
      </c>
      <c r="I427" s="1" t="s">
        <v>1021</v>
      </c>
      <c r="J427" s="1" t="s">
        <v>1018</v>
      </c>
      <c r="K427" s="1" t="s">
        <v>53</v>
      </c>
      <c r="AJ427" s="2">
        <v>44959</v>
      </c>
    </row>
    <row r="428" spans="1:36">
      <c r="A428" s="1" t="str">
        <f t="shared" si="13"/>
        <v>9629067D73</v>
      </c>
      <c r="B428" s="1" t="str">
        <f t="shared" si="9"/>
        <v>02406911202</v>
      </c>
      <c r="C428" s="1" t="s">
        <v>13</v>
      </c>
      <c r="D428" s="1" t="s">
        <v>983</v>
      </c>
      <c r="E428" s="1" t="s">
        <v>1050</v>
      </c>
      <c r="F428" s="1" t="s">
        <v>117</v>
      </c>
      <c r="G428" s="1" t="str">
        <f>"03856010370"</f>
        <v>03856010370</v>
      </c>
      <c r="I428" s="1" t="s">
        <v>1022</v>
      </c>
      <c r="J428" s="1" t="s">
        <v>1018</v>
      </c>
      <c r="K428" s="1" t="s">
        <v>53</v>
      </c>
      <c r="AJ428" s="2">
        <v>44959</v>
      </c>
    </row>
    <row r="429" spans="1:36">
      <c r="A429" s="1" t="str">
        <f t="shared" si="13"/>
        <v>9629067D73</v>
      </c>
      <c r="B429" s="1" t="str">
        <f t="shared" si="9"/>
        <v>02406911202</v>
      </c>
      <c r="C429" s="1" t="s">
        <v>13</v>
      </c>
      <c r="D429" s="1" t="s">
        <v>983</v>
      </c>
      <c r="E429" s="1" t="s">
        <v>1050</v>
      </c>
      <c r="F429" s="1" t="s">
        <v>117</v>
      </c>
      <c r="G429" s="1" t="str">
        <f>"02530590401"</f>
        <v>02530590401</v>
      </c>
      <c r="I429" s="1" t="s">
        <v>1023</v>
      </c>
      <c r="J429" s="1" t="s">
        <v>1018</v>
      </c>
      <c r="K429" s="1" t="s">
        <v>53</v>
      </c>
      <c r="AJ429" s="2">
        <v>44959</v>
      </c>
    </row>
    <row r="430" spans="1:36">
      <c r="A430" s="1" t="str">
        <f t="shared" si="13"/>
        <v>9629067D73</v>
      </c>
      <c r="B430" s="1" t="str">
        <f t="shared" si="9"/>
        <v>02406911202</v>
      </c>
      <c r="C430" s="1" t="s">
        <v>13</v>
      </c>
      <c r="D430" s="1" t="s">
        <v>983</v>
      </c>
      <c r="E430" s="1" t="s">
        <v>1050</v>
      </c>
      <c r="F430" s="1" t="s">
        <v>117</v>
      </c>
      <c r="G430" s="1" t="str">
        <f>"CSDLNE79P59D458A"</f>
        <v>CSDLNE79P59D458A</v>
      </c>
      <c r="I430" s="1" t="s">
        <v>1024</v>
      </c>
      <c r="J430" s="1" t="s">
        <v>1018</v>
      </c>
      <c r="K430" s="1" t="s">
        <v>53</v>
      </c>
      <c r="AJ430" s="2">
        <v>44959</v>
      </c>
    </row>
    <row r="431" spans="1:36">
      <c r="A431" s="1" t="str">
        <f t="shared" si="13"/>
        <v>9629067D73</v>
      </c>
      <c r="B431" s="1" t="str">
        <f t="shared" si="9"/>
        <v>02406911202</v>
      </c>
      <c r="C431" s="1" t="s">
        <v>13</v>
      </c>
      <c r="D431" s="1" t="s">
        <v>983</v>
      </c>
      <c r="E431" s="1" t="s">
        <v>1050</v>
      </c>
      <c r="F431" s="1" t="s">
        <v>117</v>
      </c>
      <c r="G431" s="1" t="str">
        <f>"PLRNDR79D07G916W"</f>
        <v>PLRNDR79D07G916W</v>
      </c>
      <c r="I431" s="1" t="s">
        <v>1025</v>
      </c>
      <c r="J431" s="1" t="s">
        <v>1018</v>
      </c>
      <c r="K431" s="1" t="s">
        <v>53</v>
      </c>
      <c r="AJ431" s="2">
        <v>44959</v>
      </c>
    </row>
    <row r="432" spans="1:36">
      <c r="A432" s="1" t="str">
        <f t="shared" si="13"/>
        <v>9629067D73</v>
      </c>
      <c r="B432" s="1" t="str">
        <f t="shared" si="9"/>
        <v>02406911202</v>
      </c>
      <c r="C432" s="1" t="s">
        <v>13</v>
      </c>
      <c r="D432" s="1" t="s">
        <v>983</v>
      </c>
      <c r="E432" s="1" t="s">
        <v>1050</v>
      </c>
      <c r="F432" s="1" t="s">
        <v>117</v>
      </c>
      <c r="I432" s="1" t="s">
        <v>1018</v>
      </c>
      <c r="L432" s="1" t="s">
        <v>44</v>
      </c>
      <c r="M432" s="1" t="s">
        <v>1048</v>
      </c>
      <c r="AG432" s="1" t="s">
        <v>124</v>
      </c>
      <c r="AH432" s="2">
        <v>44957</v>
      </c>
      <c r="AI432" s="2">
        <v>44987</v>
      </c>
      <c r="AJ432" s="2">
        <v>44959</v>
      </c>
    </row>
    <row r="433" spans="1:36">
      <c r="A433" s="1" t="str">
        <f t="shared" ref="A433:A441" si="14">"9629126E23"</f>
        <v>9629126E23</v>
      </c>
      <c r="B433" s="1" t="str">
        <f t="shared" si="9"/>
        <v>02406911202</v>
      </c>
      <c r="C433" s="1" t="s">
        <v>13</v>
      </c>
      <c r="D433" s="1" t="s">
        <v>983</v>
      </c>
      <c r="E433" s="1" t="s">
        <v>1051</v>
      </c>
      <c r="F433" s="1" t="s">
        <v>117</v>
      </c>
      <c r="G433" s="1" t="str">
        <f>"01884990381"</f>
        <v>01884990381</v>
      </c>
      <c r="I433" s="1" t="s">
        <v>1017</v>
      </c>
      <c r="J433" s="1" t="s">
        <v>1018</v>
      </c>
      <c r="K433" s="1" t="s">
        <v>53</v>
      </c>
      <c r="AJ433" s="2">
        <v>44959</v>
      </c>
    </row>
    <row r="434" spans="1:36">
      <c r="A434" s="1" t="str">
        <f t="shared" si="14"/>
        <v>9629126E23</v>
      </c>
      <c r="B434" s="1" t="str">
        <f t="shared" si="9"/>
        <v>02406911202</v>
      </c>
      <c r="C434" s="1" t="s">
        <v>13</v>
      </c>
      <c r="D434" s="1" t="s">
        <v>983</v>
      </c>
      <c r="E434" s="1" t="s">
        <v>1051</v>
      </c>
      <c r="F434" s="1" t="s">
        <v>117</v>
      </c>
      <c r="G434" s="1" t="str">
        <f>"03650151206"</f>
        <v>03650151206</v>
      </c>
      <c r="I434" s="1" t="s">
        <v>1019</v>
      </c>
      <c r="J434" s="1" t="s">
        <v>1018</v>
      </c>
      <c r="K434" s="1" t="s">
        <v>53</v>
      </c>
      <c r="AJ434" s="2">
        <v>44959</v>
      </c>
    </row>
    <row r="435" spans="1:36">
      <c r="A435" s="1" t="str">
        <f t="shared" si="14"/>
        <v>9629126E23</v>
      </c>
      <c r="B435" s="1" t="str">
        <f t="shared" si="9"/>
        <v>02406911202</v>
      </c>
      <c r="C435" s="1" t="s">
        <v>13</v>
      </c>
      <c r="D435" s="1" t="s">
        <v>983</v>
      </c>
      <c r="E435" s="1" t="s">
        <v>1051</v>
      </c>
      <c r="F435" s="1" t="s">
        <v>117</v>
      </c>
      <c r="G435" s="1" t="str">
        <f>"BLLRRT60L10A191L"</f>
        <v>BLLRRT60L10A191L</v>
      </c>
      <c r="I435" s="1" t="s">
        <v>1020</v>
      </c>
      <c r="J435" s="1" t="s">
        <v>1018</v>
      </c>
      <c r="K435" s="1" t="s">
        <v>51</v>
      </c>
      <c r="AJ435" s="2">
        <v>44959</v>
      </c>
    </row>
    <row r="436" spans="1:36">
      <c r="A436" s="1" t="str">
        <f t="shared" si="14"/>
        <v>9629126E23</v>
      </c>
      <c r="B436" s="1" t="str">
        <f t="shared" si="9"/>
        <v>02406911202</v>
      </c>
      <c r="C436" s="1" t="s">
        <v>13</v>
      </c>
      <c r="D436" s="1" t="s">
        <v>983</v>
      </c>
      <c r="E436" s="1" t="s">
        <v>1051</v>
      </c>
      <c r="F436" s="1" t="s">
        <v>117</v>
      </c>
      <c r="G436" s="1" t="str">
        <f>"SNGLCA83R51C265N"</f>
        <v>SNGLCA83R51C265N</v>
      </c>
      <c r="I436" s="1" t="s">
        <v>1021</v>
      </c>
      <c r="J436" s="1" t="s">
        <v>1018</v>
      </c>
      <c r="K436" s="1" t="s">
        <v>53</v>
      </c>
      <c r="AJ436" s="2">
        <v>44959</v>
      </c>
    </row>
    <row r="437" spans="1:36">
      <c r="A437" s="1" t="str">
        <f t="shared" si="14"/>
        <v>9629126E23</v>
      </c>
      <c r="B437" s="1" t="str">
        <f t="shared" si="9"/>
        <v>02406911202</v>
      </c>
      <c r="C437" s="1" t="s">
        <v>13</v>
      </c>
      <c r="D437" s="1" t="s">
        <v>983</v>
      </c>
      <c r="E437" s="1" t="s">
        <v>1051</v>
      </c>
      <c r="F437" s="1" t="s">
        <v>117</v>
      </c>
      <c r="G437" s="1" t="str">
        <f>"03856010370"</f>
        <v>03856010370</v>
      </c>
      <c r="I437" s="1" t="s">
        <v>1022</v>
      </c>
      <c r="J437" s="1" t="s">
        <v>1018</v>
      </c>
      <c r="K437" s="1" t="s">
        <v>53</v>
      </c>
      <c r="AJ437" s="2">
        <v>44959</v>
      </c>
    </row>
    <row r="438" spans="1:36">
      <c r="A438" s="1" t="str">
        <f t="shared" si="14"/>
        <v>9629126E23</v>
      </c>
      <c r="B438" s="1" t="str">
        <f t="shared" si="9"/>
        <v>02406911202</v>
      </c>
      <c r="C438" s="1" t="s">
        <v>13</v>
      </c>
      <c r="D438" s="1" t="s">
        <v>983</v>
      </c>
      <c r="E438" s="1" t="s">
        <v>1051</v>
      </c>
      <c r="F438" s="1" t="s">
        <v>117</v>
      </c>
      <c r="G438" s="1" t="str">
        <f>"02530590401"</f>
        <v>02530590401</v>
      </c>
      <c r="I438" s="1" t="s">
        <v>1023</v>
      </c>
      <c r="J438" s="1" t="s">
        <v>1018</v>
      </c>
      <c r="K438" s="1" t="s">
        <v>53</v>
      </c>
      <c r="AJ438" s="2">
        <v>44959</v>
      </c>
    </row>
    <row r="439" spans="1:36">
      <c r="A439" s="1" t="str">
        <f t="shared" si="14"/>
        <v>9629126E23</v>
      </c>
      <c r="B439" s="1" t="str">
        <f t="shared" si="9"/>
        <v>02406911202</v>
      </c>
      <c r="C439" s="1" t="s">
        <v>13</v>
      </c>
      <c r="D439" s="1" t="s">
        <v>983</v>
      </c>
      <c r="E439" s="1" t="s">
        <v>1051</v>
      </c>
      <c r="F439" s="1" t="s">
        <v>117</v>
      </c>
      <c r="G439" s="1" t="str">
        <f>"CSDLNE79P59D458A"</f>
        <v>CSDLNE79P59D458A</v>
      </c>
      <c r="I439" s="1" t="s">
        <v>1024</v>
      </c>
      <c r="J439" s="1" t="s">
        <v>1018</v>
      </c>
      <c r="K439" s="1" t="s">
        <v>53</v>
      </c>
      <c r="AJ439" s="2">
        <v>44959</v>
      </c>
    </row>
    <row r="440" spans="1:36">
      <c r="A440" s="1" t="str">
        <f t="shared" si="14"/>
        <v>9629126E23</v>
      </c>
      <c r="B440" s="1" t="str">
        <f t="shared" si="9"/>
        <v>02406911202</v>
      </c>
      <c r="C440" s="1" t="s">
        <v>13</v>
      </c>
      <c r="D440" s="1" t="s">
        <v>983</v>
      </c>
      <c r="E440" s="1" t="s">
        <v>1051</v>
      </c>
      <c r="F440" s="1" t="s">
        <v>117</v>
      </c>
      <c r="G440" s="1" t="str">
        <f>"PLRNDR79D07G916W"</f>
        <v>PLRNDR79D07G916W</v>
      </c>
      <c r="I440" s="1" t="s">
        <v>1025</v>
      </c>
      <c r="J440" s="1" t="s">
        <v>1018</v>
      </c>
      <c r="K440" s="1" t="s">
        <v>53</v>
      </c>
      <c r="AJ440" s="2">
        <v>44959</v>
      </c>
    </row>
    <row r="441" spans="1:36">
      <c r="A441" s="1" t="str">
        <f t="shared" si="14"/>
        <v>9629126E23</v>
      </c>
      <c r="B441" s="1" t="str">
        <f t="shared" si="9"/>
        <v>02406911202</v>
      </c>
      <c r="C441" s="1" t="s">
        <v>13</v>
      </c>
      <c r="D441" s="1" t="s">
        <v>983</v>
      </c>
      <c r="E441" s="1" t="s">
        <v>1051</v>
      </c>
      <c r="F441" s="1" t="s">
        <v>117</v>
      </c>
      <c r="I441" s="1" t="s">
        <v>1018</v>
      </c>
      <c r="L441" s="1" t="s">
        <v>44</v>
      </c>
      <c r="M441" s="1" t="s">
        <v>1052</v>
      </c>
      <c r="AG441" s="1" t="s">
        <v>124</v>
      </c>
      <c r="AH441" s="2">
        <v>44957</v>
      </c>
      <c r="AI441" s="2">
        <v>44988</v>
      </c>
      <c r="AJ441" s="2">
        <v>44959</v>
      </c>
    </row>
    <row r="442" spans="1:36">
      <c r="A442" s="1" t="str">
        <f t="shared" ref="A442:A450" si="15">"9629186FA6"</f>
        <v>9629186FA6</v>
      </c>
      <c r="B442" s="1" t="str">
        <f t="shared" si="9"/>
        <v>02406911202</v>
      </c>
      <c r="C442" s="1" t="s">
        <v>13</v>
      </c>
      <c r="D442" s="1" t="s">
        <v>983</v>
      </c>
      <c r="E442" s="1" t="s">
        <v>1053</v>
      </c>
      <c r="F442" s="1" t="s">
        <v>117</v>
      </c>
      <c r="G442" s="1" t="str">
        <f>"01884990381"</f>
        <v>01884990381</v>
      </c>
      <c r="I442" s="1" t="s">
        <v>1017</v>
      </c>
      <c r="J442" s="1" t="s">
        <v>1018</v>
      </c>
      <c r="K442" s="1" t="s">
        <v>53</v>
      </c>
      <c r="AJ442" s="2">
        <v>44959</v>
      </c>
    </row>
    <row r="443" spans="1:36">
      <c r="A443" s="1" t="str">
        <f t="shared" si="15"/>
        <v>9629186FA6</v>
      </c>
      <c r="B443" s="1" t="str">
        <f t="shared" si="9"/>
        <v>02406911202</v>
      </c>
      <c r="C443" s="1" t="s">
        <v>13</v>
      </c>
      <c r="D443" s="1" t="s">
        <v>983</v>
      </c>
      <c r="E443" s="1" t="s">
        <v>1053</v>
      </c>
      <c r="F443" s="1" t="s">
        <v>117</v>
      </c>
      <c r="G443" s="1" t="str">
        <f>"03650151206"</f>
        <v>03650151206</v>
      </c>
      <c r="I443" s="1" t="s">
        <v>1019</v>
      </c>
      <c r="J443" s="1" t="s">
        <v>1018</v>
      </c>
      <c r="K443" s="1" t="s">
        <v>53</v>
      </c>
      <c r="AJ443" s="2">
        <v>44959</v>
      </c>
    </row>
    <row r="444" spans="1:36">
      <c r="A444" s="1" t="str">
        <f t="shared" si="15"/>
        <v>9629186FA6</v>
      </c>
      <c r="B444" s="1" t="str">
        <f t="shared" si="9"/>
        <v>02406911202</v>
      </c>
      <c r="C444" s="1" t="s">
        <v>13</v>
      </c>
      <c r="D444" s="1" t="s">
        <v>983</v>
      </c>
      <c r="E444" s="1" t="s">
        <v>1053</v>
      </c>
      <c r="F444" s="1" t="s">
        <v>117</v>
      </c>
      <c r="G444" s="1" t="str">
        <f>"BLLRRT60L10A191L"</f>
        <v>BLLRRT60L10A191L</v>
      </c>
      <c r="I444" s="1" t="s">
        <v>1020</v>
      </c>
      <c r="J444" s="1" t="s">
        <v>1018</v>
      </c>
      <c r="K444" s="1" t="s">
        <v>51</v>
      </c>
      <c r="AJ444" s="2">
        <v>44959</v>
      </c>
    </row>
    <row r="445" spans="1:36">
      <c r="A445" s="1" t="str">
        <f t="shared" si="15"/>
        <v>9629186FA6</v>
      </c>
      <c r="B445" s="1" t="str">
        <f t="shared" si="9"/>
        <v>02406911202</v>
      </c>
      <c r="C445" s="1" t="s">
        <v>13</v>
      </c>
      <c r="D445" s="1" t="s">
        <v>983</v>
      </c>
      <c r="E445" s="1" t="s">
        <v>1053</v>
      </c>
      <c r="F445" s="1" t="s">
        <v>117</v>
      </c>
      <c r="G445" s="1" t="str">
        <f>"SNGLCA83R51C265N"</f>
        <v>SNGLCA83R51C265N</v>
      </c>
      <c r="I445" s="1" t="s">
        <v>1021</v>
      </c>
      <c r="J445" s="1" t="s">
        <v>1018</v>
      </c>
      <c r="K445" s="1" t="s">
        <v>53</v>
      </c>
      <c r="AJ445" s="2">
        <v>44959</v>
      </c>
    </row>
    <row r="446" spans="1:36">
      <c r="A446" s="1" t="str">
        <f t="shared" si="15"/>
        <v>9629186FA6</v>
      </c>
      <c r="B446" s="1" t="str">
        <f t="shared" si="9"/>
        <v>02406911202</v>
      </c>
      <c r="C446" s="1" t="s">
        <v>13</v>
      </c>
      <c r="D446" s="1" t="s">
        <v>983</v>
      </c>
      <c r="E446" s="1" t="s">
        <v>1053</v>
      </c>
      <c r="F446" s="1" t="s">
        <v>117</v>
      </c>
      <c r="G446" s="1" t="str">
        <f>"03856010370"</f>
        <v>03856010370</v>
      </c>
      <c r="I446" s="1" t="s">
        <v>1022</v>
      </c>
      <c r="J446" s="1" t="s">
        <v>1018</v>
      </c>
      <c r="K446" s="1" t="s">
        <v>53</v>
      </c>
      <c r="AJ446" s="2">
        <v>44959</v>
      </c>
    </row>
    <row r="447" spans="1:36">
      <c r="A447" s="1" t="str">
        <f t="shared" si="15"/>
        <v>9629186FA6</v>
      </c>
      <c r="B447" s="1" t="str">
        <f t="shared" si="9"/>
        <v>02406911202</v>
      </c>
      <c r="C447" s="1" t="s">
        <v>13</v>
      </c>
      <c r="D447" s="1" t="s">
        <v>983</v>
      </c>
      <c r="E447" s="1" t="s">
        <v>1053</v>
      </c>
      <c r="F447" s="1" t="s">
        <v>117</v>
      </c>
      <c r="G447" s="1" t="str">
        <f>"02530590401"</f>
        <v>02530590401</v>
      </c>
      <c r="I447" s="1" t="s">
        <v>1023</v>
      </c>
      <c r="J447" s="1" t="s">
        <v>1018</v>
      </c>
      <c r="K447" s="1" t="s">
        <v>53</v>
      </c>
      <c r="AJ447" s="2">
        <v>44959</v>
      </c>
    </row>
    <row r="448" spans="1:36">
      <c r="A448" s="1" t="str">
        <f t="shared" si="15"/>
        <v>9629186FA6</v>
      </c>
      <c r="B448" s="1" t="str">
        <f t="shared" si="9"/>
        <v>02406911202</v>
      </c>
      <c r="C448" s="1" t="s">
        <v>13</v>
      </c>
      <c r="D448" s="1" t="s">
        <v>983</v>
      </c>
      <c r="E448" s="1" t="s">
        <v>1053</v>
      </c>
      <c r="F448" s="1" t="s">
        <v>117</v>
      </c>
      <c r="G448" s="1" t="str">
        <f>"CSDLNE79P59D458A"</f>
        <v>CSDLNE79P59D458A</v>
      </c>
      <c r="I448" s="1" t="s">
        <v>1024</v>
      </c>
      <c r="J448" s="1" t="s">
        <v>1018</v>
      </c>
      <c r="K448" s="1" t="s">
        <v>53</v>
      </c>
      <c r="AJ448" s="2">
        <v>44959</v>
      </c>
    </row>
    <row r="449" spans="1:36">
      <c r="A449" s="1" t="str">
        <f t="shared" si="15"/>
        <v>9629186FA6</v>
      </c>
      <c r="B449" s="1" t="str">
        <f t="shared" si="9"/>
        <v>02406911202</v>
      </c>
      <c r="C449" s="1" t="s">
        <v>13</v>
      </c>
      <c r="D449" s="1" t="s">
        <v>983</v>
      </c>
      <c r="E449" s="1" t="s">
        <v>1053</v>
      </c>
      <c r="F449" s="1" t="s">
        <v>117</v>
      </c>
      <c r="G449" s="1" t="str">
        <f>"PLRNDR79D07G916W"</f>
        <v>PLRNDR79D07G916W</v>
      </c>
      <c r="I449" s="1" t="s">
        <v>1025</v>
      </c>
      <c r="J449" s="1" t="s">
        <v>1018</v>
      </c>
      <c r="K449" s="1" t="s">
        <v>53</v>
      </c>
      <c r="AJ449" s="2">
        <v>44959</v>
      </c>
    </row>
    <row r="450" spans="1:36">
      <c r="A450" s="1" t="str">
        <f t="shared" si="15"/>
        <v>9629186FA6</v>
      </c>
      <c r="B450" s="1" t="str">
        <f t="shared" ref="B450:B513" si="16">"02406911202"</f>
        <v>02406911202</v>
      </c>
      <c r="C450" s="1" t="s">
        <v>13</v>
      </c>
      <c r="D450" s="1" t="s">
        <v>983</v>
      </c>
      <c r="E450" s="1" t="s">
        <v>1053</v>
      </c>
      <c r="F450" s="1" t="s">
        <v>117</v>
      </c>
      <c r="I450" s="1" t="s">
        <v>1018</v>
      </c>
      <c r="L450" s="1" t="s">
        <v>44</v>
      </c>
      <c r="M450" s="1" t="s">
        <v>1048</v>
      </c>
      <c r="AG450" s="1" t="s">
        <v>124</v>
      </c>
      <c r="AH450" s="2">
        <v>44957</v>
      </c>
      <c r="AI450" s="2">
        <v>44988</v>
      </c>
      <c r="AJ450" s="2">
        <v>44959</v>
      </c>
    </row>
    <row r="451" spans="1:36">
      <c r="A451" s="1" t="str">
        <f t="shared" ref="A451:A459" si="17">"Z0F39EA2A7"</f>
        <v>Z0F39EA2A7</v>
      </c>
      <c r="B451" s="1" t="str">
        <f t="shared" si="16"/>
        <v>02406911202</v>
      </c>
      <c r="C451" s="1" t="s">
        <v>13</v>
      </c>
      <c r="D451" s="1" t="s">
        <v>983</v>
      </c>
      <c r="E451" s="1" t="s">
        <v>1054</v>
      </c>
      <c r="F451" s="1" t="s">
        <v>117</v>
      </c>
      <c r="G451" s="1" t="str">
        <f>"01884990381"</f>
        <v>01884990381</v>
      </c>
      <c r="I451" s="1" t="s">
        <v>1017</v>
      </c>
      <c r="J451" s="1" t="s">
        <v>1018</v>
      </c>
      <c r="K451" s="1" t="s">
        <v>53</v>
      </c>
      <c r="AJ451" s="2">
        <v>44985</v>
      </c>
    </row>
    <row r="452" spans="1:36">
      <c r="A452" s="1" t="str">
        <f t="shared" si="17"/>
        <v>Z0F39EA2A7</v>
      </c>
      <c r="B452" s="1" t="str">
        <f t="shared" si="16"/>
        <v>02406911202</v>
      </c>
      <c r="C452" s="1" t="s">
        <v>13</v>
      </c>
      <c r="D452" s="1" t="s">
        <v>983</v>
      </c>
      <c r="E452" s="1" t="s">
        <v>1054</v>
      </c>
      <c r="F452" s="1" t="s">
        <v>117</v>
      </c>
      <c r="G452" s="1" t="str">
        <f>"03650151206"</f>
        <v>03650151206</v>
      </c>
      <c r="I452" s="1" t="s">
        <v>1019</v>
      </c>
      <c r="J452" s="1" t="s">
        <v>1018</v>
      </c>
      <c r="K452" s="1" t="s">
        <v>53</v>
      </c>
      <c r="AJ452" s="2">
        <v>44985</v>
      </c>
    </row>
    <row r="453" spans="1:36">
      <c r="A453" s="1" t="str">
        <f t="shared" si="17"/>
        <v>Z0F39EA2A7</v>
      </c>
      <c r="B453" s="1" t="str">
        <f t="shared" si="16"/>
        <v>02406911202</v>
      </c>
      <c r="C453" s="1" t="s">
        <v>13</v>
      </c>
      <c r="D453" s="1" t="s">
        <v>983</v>
      </c>
      <c r="E453" s="1" t="s">
        <v>1054</v>
      </c>
      <c r="F453" s="1" t="s">
        <v>117</v>
      </c>
      <c r="G453" s="1" t="str">
        <f>"BLLRRT60L10A191L"</f>
        <v>BLLRRT60L10A191L</v>
      </c>
      <c r="I453" s="1" t="s">
        <v>1020</v>
      </c>
      <c r="J453" s="1" t="s">
        <v>1018</v>
      </c>
      <c r="K453" s="1" t="s">
        <v>51</v>
      </c>
      <c r="AJ453" s="2">
        <v>44985</v>
      </c>
    </row>
    <row r="454" spans="1:36">
      <c r="A454" s="1" t="str">
        <f t="shared" si="17"/>
        <v>Z0F39EA2A7</v>
      </c>
      <c r="B454" s="1" t="str">
        <f t="shared" si="16"/>
        <v>02406911202</v>
      </c>
      <c r="C454" s="1" t="s">
        <v>13</v>
      </c>
      <c r="D454" s="1" t="s">
        <v>983</v>
      </c>
      <c r="E454" s="1" t="s">
        <v>1054</v>
      </c>
      <c r="F454" s="1" t="s">
        <v>117</v>
      </c>
      <c r="G454" s="1" t="str">
        <f>"SNGLCA83R51C265N"</f>
        <v>SNGLCA83R51C265N</v>
      </c>
      <c r="I454" s="1" t="s">
        <v>1021</v>
      </c>
      <c r="J454" s="1" t="s">
        <v>1018</v>
      </c>
      <c r="K454" s="1" t="s">
        <v>53</v>
      </c>
      <c r="AJ454" s="2">
        <v>44985</v>
      </c>
    </row>
    <row r="455" spans="1:36">
      <c r="A455" s="1" t="str">
        <f t="shared" si="17"/>
        <v>Z0F39EA2A7</v>
      </c>
      <c r="B455" s="1" t="str">
        <f t="shared" si="16"/>
        <v>02406911202</v>
      </c>
      <c r="C455" s="1" t="s">
        <v>13</v>
      </c>
      <c r="D455" s="1" t="s">
        <v>983</v>
      </c>
      <c r="E455" s="1" t="s">
        <v>1054</v>
      </c>
      <c r="F455" s="1" t="s">
        <v>117</v>
      </c>
      <c r="G455" s="1" t="str">
        <f>"03856010370"</f>
        <v>03856010370</v>
      </c>
      <c r="I455" s="1" t="s">
        <v>1022</v>
      </c>
      <c r="J455" s="1" t="s">
        <v>1018</v>
      </c>
      <c r="K455" s="1" t="s">
        <v>53</v>
      </c>
      <c r="AJ455" s="2">
        <v>44985</v>
      </c>
    </row>
    <row r="456" spans="1:36">
      <c r="A456" s="1" t="str">
        <f t="shared" si="17"/>
        <v>Z0F39EA2A7</v>
      </c>
      <c r="B456" s="1" t="str">
        <f t="shared" si="16"/>
        <v>02406911202</v>
      </c>
      <c r="C456" s="1" t="s">
        <v>13</v>
      </c>
      <c r="D456" s="1" t="s">
        <v>983</v>
      </c>
      <c r="E456" s="1" t="s">
        <v>1054</v>
      </c>
      <c r="F456" s="1" t="s">
        <v>117</v>
      </c>
      <c r="G456" s="1" t="str">
        <f>"02530590401"</f>
        <v>02530590401</v>
      </c>
      <c r="I456" s="1" t="s">
        <v>1023</v>
      </c>
      <c r="J456" s="1" t="s">
        <v>1018</v>
      </c>
      <c r="K456" s="1" t="s">
        <v>53</v>
      </c>
      <c r="AJ456" s="2">
        <v>44985</v>
      </c>
    </row>
    <row r="457" spans="1:36">
      <c r="A457" s="1" t="str">
        <f t="shared" si="17"/>
        <v>Z0F39EA2A7</v>
      </c>
      <c r="B457" s="1" t="str">
        <f t="shared" si="16"/>
        <v>02406911202</v>
      </c>
      <c r="C457" s="1" t="s">
        <v>13</v>
      </c>
      <c r="D457" s="1" t="s">
        <v>983</v>
      </c>
      <c r="E457" s="1" t="s">
        <v>1054</v>
      </c>
      <c r="F457" s="1" t="s">
        <v>117</v>
      </c>
      <c r="G457" s="1" t="str">
        <f>"CSDLNE79P59D458A"</f>
        <v>CSDLNE79P59D458A</v>
      </c>
      <c r="I457" s="1" t="s">
        <v>1024</v>
      </c>
      <c r="J457" s="1" t="s">
        <v>1018</v>
      </c>
      <c r="K457" s="1" t="s">
        <v>53</v>
      </c>
      <c r="AJ457" s="2">
        <v>44985</v>
      </c>
    </row>
    <row r="458" spans="1:36">
      <c r="A458" s="1" t="str">
        <f t="shared" si="17"/>
        <v>Z0F39EA2A7</v>
      </c>
      <c r="B458" s="1" t="str">
        <f t="shared" si="16"/>
        <v>02406911202</v>
      </c>
      <c r="C458" s="1" t="s">
        <v>13</v>
      </c>
      <c r="D458" s="1" t="s">
        <v>983</v>
      </c>
      <c r="E458" s="1" t="s">
        <v>1054</v>
      </c>
      <c r="F458" s="1" t="s">
        <v>117</v>
      </c>
      <c r="G458" s="1" t="str">
        <f>"PLRNDR79D07G916W"</f>
        <v>PLRNDR79D07G916W</v>
      </c>
      <c r="I458" s="1" t="s">
        <v>1025</v>
      </c>
      <c r="J458" s="1" t="s">
        <v>1018</v>
      </c>
      <c r="K458" s="1" t="s">
        <v>53</v>
      </c>
      <c r="AJ458" s="2">
        <v>44985</v>
      </c>
    </row>
    <row r="459" spans="1:36">
      <c r="A459" s="1" t="str">
        <f t="shared" si="17"/>
        <v>Z0F39EA2A7</v>
      </c>
      <c r="B459" s="1" t="str">
        <f t="shared" si="16"/>
        <v>02406911202</v>
      </c>
      <c r="C459" s="1" t="s">
        <v>13</v>
      </c>
      <c r="D459" s="1" t="s">
        <v>983</v>
      </c>
      <c r="E459" s="1" t="s">
        <v>1054</v>
      </c>
      <c r="F459" s="1" t="s">
        <v>117</v>
      </c>
      <c r="I459" s="1" t="s">
        <v>1018</v>
      </c>
      <c r="L459" s="1" t="s">
        <v>44</v>
      </c>
      <c r="M459" s="1" t="s">
        <v>1055</v>
      </c>
      <c r="AG459" s="1" t="s">
        <v>124</v>
      </c>
      <c r="AH459" s="2">
        <v>44967</v>
      </c>
      <c r="AI459" s="2">
        <v>44995</v>
      </c>
      <c r="AJ459" s="2">
        <v>44985</v>
      </c>
    </row>
    <row r="460" spans="1:36">
      <c r="A460" s="1" t="str">
        <f>"ZF539EADA9"</f>
        <v>ZF539EADA9</v>
      </c>
      <c r="B460" s="1" t="str">
        <f t="shared" si="16"/>
        <v>02406911202</v>
      </c>
      <c r="C460" s="1" t="s">
        <v>13</v>
      </c>
      <c r="D460" s="1" t="s">
        <v>983</v>
      </c>
      <c r="E460" s="1" t="s">
        <v>1056</v>
      </c>
      <c r="F460" s="1" t="s">
        <v>99</v>
      </c>
      <c r="G460" s="1" t="str">
        <f>"01570210243"</f>
        <v>01570210243</v>
      </c>
      <c r="I460" s="1" t="s">
        <v>1057</v>
      </c>
      <c r="L460" s="1" t="s">
        <v>44</v>
      </c>
      <c r="M460" s="1" t="s">
        <v>1058</v>
      </c>
      <c r="AG460" s="1" t="s">
        <v>124</v>
      </c>
      <c r="AH460" s="2">
        <v>44970</v>
      </c>
      <c r="AI460" s="2">
        <v>44998</v>
      </c>
      <c r="AJ460" s="2">
        <v>44977</v>
      </c>
    </row>
    <row r="461" spans="1:36">
      <c r="A461" s="1" t="str">
        <f>"9654729669"</f>
        <v>9654729669</v>
      </c>
      <c r="B461" s="1" t="str">
        <f t="shared" si="16"/>
        <v>02406911202</v>
      </c>
      <c r="C461" s="1" t="s">
        <v>13</v>
      </c>
      <c r="D461" s="1" t="s">
        <v>983</v>
      </c>
      <c r="E461" s="1" t="s">
        <v>1059</v>
      </c>
      <c r="F461" s="1" t="s">
        <v>117</v>
      </c>
      <c r="G461" s="1" t="str">
        <f>"01468160393"</f>
        <v>01468160393</v>
      </c>
      <c r="I461" s="1" t="s">
        <v>1060</v>
      </c>
      <c r="L461" s="1" t="s">
        <v>44</v>
      </c>
      <c r="M461" s="1" t="s">
        <v>1061</v>
      </c>
      <c r="AG461" s="1" t="s">
        <v>1062</v>
      </c>
      <c r="AH461" s="2">
        <v>44997</v>
      </c>
      <c r="AI461" s="2">
        <v>45297</v>
      </c>
      <c r="AJ461" s="2">
        <v>44970</v>
      </c>
    </row>
    <row r="462" spans="1:36">
      <c r="A462" s="1" t="str">
        <f>"Z533A04AE5"</f>
        <v>Z533A04AE5</v>
      </c>
      <c r="B462" s="1" t="str">
        <f t="shared" si="16"/>
        <v>02406911202</v>
      </c>
      <c r="C462" s="1" t="s">
        <v>13</v>
      </c>
      <c r="D462" s="1" t="s">
        <v>983</v>
      </c>
      <c r="E462" s="1" t="s">
        <v>1063</v>
      </c>
      <c r="F462" s="1" t="s">
        <v>99</v>
      </c>
      <c r="G462" s="1" t="str">
        <f>"03195951201"</f>
        <v>03195951201</v>
      </c>
      <c r="I462" s="1" t="s">
        <v>1064</v>
      </c>
      <c r="L462" s="1" t="s">
        <v>44</v>
      </c>
      <c r="M462" s="1" t="s">
        <v>1065</v>
      </c>
      <c r="AG462" s="1" t="s">
        <v>124</v>
      </c>
      <c r="AH462" s="2">
        <v>44995</v>
      </c>
      <c r="AI462" s="2">
        <v>45087</v>
      </c>
      <c r="AJ462" s="2">
        <v>44995</v>
      </c>
    </row>
    <row r="463" spans="1:36">
      <c r="A463" s="1" t="str">
        <f>"Z823A0C94C"</f>
        <v>Z823A0C94C</v>
      </c>
      <c r="B463" s="1" t="str">
        <f t="shared" si="16"/>
        <v>02406911202</v>
      </c>
      <c r="C463" s="1" t="s">
        <v>13</v>
      </c>
      <c r="D463" s="1" t="s">
        <v>983</v>
      </c>
      <c r="E463" s="1" t="s">
        <v>1066</v>
      </c>
      <c r="F463" s="1" t="s">
        <v>49</v>
      </c>
      <c r="G463" s="1" t="str">
        <f>"03630970378"</f>
        <v>03630970378</v>
      </c>
      <c r="I463" s="1" t="s">
        <v>1067</v>
      </c>
      <c r="L463" s="1" t="s">
        <v>44</v>
      </c>
      <c r="M463" s="1" t="s">
        <v>1068</v>
      </c>
      <c r="AG463" s="1" t="s">
        <v>124</v>
      </c>
      <c r="AH463" s="2">
        <v>45020</v>
      </c>
      <c r="AI463" s="2">
        <v>45107</v>
      </c>
      <c r="AJ463" s="2">
        <v>45020</v>
      </c>
    </row>
    <row r="464" spans="1:36">
      <c r="A464" s="1" t="str">
        <f>"ZDF3A14B46"</f>
        <v>ZDF3A14B46</v>
      </c>
      <c r="B464" s="1" t="str">
        <f t="shared" si="16"/>
        <v>02406911202</v>
      </c>
      <c r="C464" s="1" t="s">
        <v>13</v>
      </c>
      <c r="D464" s="1" t="s">
        <v>983</v>
      </c>
      <c r="E464" s="1" t="s">
        <v>1069</v>
      </c>
      <c r="F464" s="1" t="s">
        <v>49</v>
      </c>
      <c r="G464" s="1" t="str">
        <f>"05069070158"</f>
        <v>05069070158</v>
      </c>
      <c r="I464" s="1" t="s">
        <v>1070</v>
      </c>
      <c r="L464" s="1" t="s">
        <v>44</v>
      </c>
      <c r="M464" s="1" t="s">
        <v>1071</v>
      </c>
      <c r="AG464" s="1" t="s">
        <v>124</v>
      </c>
      <c r="AH464" s="2">
        <v>44980</v>
      </c>
      <c r="AI464" s="2">
        <v>45040</v>
      </c>
      <c r="AJ464" s="2">
        <v>44980</v>
      </c>
    </row>
    <row r="465" spans="1:36">
      <c r="A465" s="1" t="str">
        <f>"Z5E3A3E19E"</f>
        <v>Z5E3A3E19E</v>
      </c>
      <c r="B465" s="1" t="str">
        <f t="shared" si="16"/>
        <v>02406911202</v>
      </c>
      <c r="C465" s="1" t="s">
        <v>13</v>
      </c>
      <c r="D465" s="1" t="s">
        <v>983</v>
      </c>
      <c r="E465" s="1" t="s">
        <v>1072</v>
      </c>
      <c r="F465" s="1" t="s">
        <v>49</v>
      </c>
      <c r="G465" s="1" t="str">
        <f>"TRPPLA51T27D548J"</f>
        <v>TRPPLA51T27D548J</v>
      </c>
      <c r="I465" s="1" t="s">
        <v>1073</v>
      </c>
      <c r="L465" s="1" t="s">
        <v>44</v>
      </c>
      <c r="M465" s="1" t="s">
        <v>1074</v>
      </c>
      <c r="AG465" s="1" t="s">
        <v>1075</v>
      </c>
      <c r="AH465" s="2">
        <v>44992</v>
      </c>
      <c r="AI465" s="2">
        <v>45000</v>
      </c>
      <c r="AJ465" s="2">
        <v>44992</v>
      </c>
    </row>
    <row r="466" spans="1:36">
      <c r="A466" s="1" t="str">
        <f>"ZE73A44D23"</f>
        <v>ZE73A44D23</v>
      </c>
      <c r="B466" s="1" t="str">
        <f t="shared" si="16"/>
        <v>02406911202</v>
      </c>
      <c r="C466" s="1" t="s">
        <v>13</v>
      </c>
      <c r="D466" s="1" t="s">
        <v>983</v>
      </c>
      <c r="E466" s="1" t="s">
        <v>1076</v>
      </c>
      <c r="F466" s="1" t="s">
        <v>49</v>
      </c>
      <c r="G466" s="1" t="str">
        <f>"00399810589"</f>
        <v>00399810589</v>
      </c>
      <c r="I466" s="1" t="s">
        <v>1077</v>
      </c>
      <c r="L466" s="1" t="s">
        <v>44</v>
      </c>
      <c r="M466" s="1" t="s">
        <v>1078</v>
      </c>
      <c r="AG466" s="1" t="s">
        <v>1079</v>
      </c>
      <c r="AH466" s="2">
        <v>44992</v>
      </c>
      <c r="AI466" s="2">
        <v>44999</v>
      </c>
      <c r="AJ466" s="2">
        <v>44992</v>
      </c>
    </row>
    <row r="467" spans="1:36">
      <c r="A467" s="1" t="str">
        <f>"ZBF3A5142D"</f>
        <v>ZBF3A5142D</v>
      </c>
      <c r="B467" s="1" t="str">
        <f t="shared" si="16"/>
        <v>02406911202</v>
      </c>
      <c r="C467" s="1" t="s">
        <v>13</v>
      </c>
      <c r="D467" s="1" t="s">
        <v>983</v>
      </c>
      <c r="E467" s="1" t="s">
        <v>1080</v>
      </c>
      <c r="F467" s="1" t="s">
        <v>49</v>
      </c>
      <c r="G467" s="1" t="str">
        <f>"02607860349"</f>
        <v>02607860349</v>
      </c>
      <c r="I467" s="1" t="s">
        <v>1081</v>
      </c>
      <c r="L467" s="1" t="s">
        <v>44</v>
      </c>
      <c r="M467" s="1" t="s">
        <v>1082</v>
      </c>
      <c r="AG467" s="1" t="s">
        <v>1083</v>
      </c>
      <c r="AH467" s="2">
        <v>44995</v>
      </c>
      <c r="AI467" s="2">
        <v>45117</v>
      </c>
      <c r="AJ467" s="2">
        <v>44995</v>
      </c>
    </row>
    <row r="468" spans="1:36">
      <c r="A468" s="1" t="str">
        <f>"9706581C07"</f>
        <v>9706581C07</v>
      </c>
      <c r="B468" s="1" t="str">
        <f t="shared" si="16"/>
        <v>02406911202</v>
      </c>
      <c r="C468" s="1" t="s">
        <v>13</v>
      </c>
      <c r="D468" s="1" t="s">
        <v>983</v>
      </c>
      <c r="E468" s="1" t="s">
        <v>1084</v>
      </c>
      <c r="F468" s="1" t="s">
        <v>49</v>
      </c>
      <c r="G468" s="1" t="str">
        <f>"12883420155"</f>
        <v>12883420155</v>
      </c>
      <c r="I468" s="1" t="s">
        <v>1085</v>
      </c>
      <c r="L468" s="1" t="s">
        <v>44</v>
      </c>
      <c r="M468" s="1" t="s">
        <v>1086</v>
      </c>
      <c r="AG468" s="1" t="s">
        <v>1087</v>
      </c>
      <c r="AH468" s="2">
        <v>44927</v>
      </c>
      <c r="AI468" s="2">
        <v>45016</v>
      </c>
      <c r="AJ468" s="2">
        <v>44927</v>
      </c>
    </row>
    <row r="469" spans="1:36">
      <c r="A469" s="1" t="str">
        <f>"97020733EB"</f>
        <v>97020733EB</v>
      </c>
      <c r="B469" s="1" t="str">
        <f t="shared" si="16"/>
        <v>02406911202</v>
      </c>
      <c r="C469" s="1" t="s">
        <v>13</v>
      </c>
      <c r="D469" s="1" t="s">
        <v>983</v>
      </c>
      <c r="E469" s="1" t="s">
        <v>1088</v>
      </c>
      <c r="F469" s="1" t="s">
        <v>99</v>
      </c>
      <c r="G469" s="1" t="str">
        <f>"02114361203"</f>
        <v>02114361203</v>
      </c>
      <c r="I469" s="1" t="s">
        <v>1089</v>
      </c>
      <c r="L469" s="1" t="s">
        <v>44</v>
      </c>
      <c r="M469" s="1" t="s">
        <v>1090</v>
      </c>
      <c r="AG469" s="1" t="s">
        <v>1091</v>
      </c>
      <c r="AH469" s="2">
        <v>44980</v>
      </c>
      <c r="AI469" s="2">
        <v>45016</v>
      </c>
      <c r="AJ469" s="2">
        <v>44980</v>
      </c>
    </row>
    <row r="470" spans="1:36">
      <c r="A470" s="1" t="str">
        <f>"Z273A5CFA8"</f>
        <v>Z273A5CFA8</v>
      </c>
      <c r="B470" s="1" t="str">
        <f t="shared" si="16"/>
        <v>02406911202</v>
      </c>
      <c r="C470" s="1" t="s">
        <v>13</v>
      </c>
      <c r="D470" s="1" t="s">
        <v>983</v>
      </c>
      <c r="E470" s="1" t="s">
        <v>1092</v>
      </c>
      <c r="F470" s="1" t="s">
        <v>49</v>
      </c>
      <c r="G470" s="1" t="str">
        <f>"10907840150"</f>
        <v>10907840150</v>
      </c>
      <c r="I470" s="1" t="s">
        <v>1093</v>
      </c>
      <c r="L470" s="1" t="s">
        <v>44</v>
      </c>
      <c r="M470" s="1" t="s">
        <v>1094</v>
      </c>
      <c r="AG470" s="1" t="s">
        <v>1095</v>
      </c>
      <c r="AH470" s="2">
        <v>45002</v>
      </c>
      <c r="AI470" s="2">
        <v>45044</v>
      </c>
      <c r="AJ470" s="2">
        <v>45002</v>
      </c>
    </row>
    <row r="471" spans="1:36">
      <c r="A471" s="1" t="str">
        <f>"9719958B14"</f>
        <v>9719958B14</v>
      </c>
      <c r="B471" s="1" t="str">
        <f t="shared" si="16"/>
        <v>02406911202</v>
      </c>
      <c r="C471" s="1" t="s">
        <v>13</v>
      </c>
      <c r="D471" s="1" t="s">
        <v>983</v>
      </c>
      <c r="E471" s="1" t="s">
        <v>1096</v>
      </c>
      <c r="F471" s="1" t="s">
        <v>117</v>
      </c>
      <c r="G471" s="1" t="str">
        <f>"RZZMRC62T13C121R"</f>
        <v>RZZMRC62T13C121R</v>
      </c>
      <c r="I471" s="1" t="s">
        <v>1097</v>
      </c>
      <c r="J471" s="1" t="s">
        <v>1098</v>
      </c>
      <c r="K471" s="1" t="s">
        <v>1099</v>
      </c>
      <c r="AJ471" s="2">
        <v>45007</v>
      </c>
    </row>
    <row r="472" spans="1:36">
      <c r="A472" s="1" t="str">
        <f>"9719958B14"</f>
        <v>9719958B14</v>
      </c>
      <c r="B472" s="1" t="str">
        <f t="shared" si="16"/>
        <v>02406911202</v>
      </c>
      <c r="C472" s="1" t="s">
        <v>13</v>
      </c>
      <c r="D472" s="1" t="s">
        <v>983</v>
      </c>
      <c r="E472" s="1" t="s">
        <v>1096</v>
      </c>
      <c r="F472" s="1" t="s">
        <v>117</v>
      </c>
      <c r="G472" s="1" t="str">
        <f>"03624131201"</f>
        <v>03624131201</v>
      </c>
      <c r="I472" s="1" t="s">
        <v>1100</v>
      </c>
      <c r="J472" s="1" t="s">
        <v>1098</v>
      </c>
      <c r="K472" s="1" t="s">
        <v>1101</v>
      </c>
      <c r="AJ472" s="2">
        <v>45007</v>
      </c>
    </row>
    <row r="473" spans="1:36">
      <c r="A473" s="1" t="str">
        <f>"9719958B14"</f>
        <v>9719958B14</v>
      </c>
      <c r="B473" s="1" t="str">
        <f t="shared" si="16"/>
        <v>02406911202</v>
      </c>
      <c r="C473" s="1" t="s">
        <v>13</v>
      </c>
      <c r="D473" s="1" t="s">
        <v>983</v>
      </c>
      <c r="E473" s="1" t="s">
        <v>1096</v>
      </c>
      <c r="F473" s="1" t="s">
        <v>117</v>
      </c>
      <c r="G473" s="1" t="str">
        <f>"CVRPRI62E07A944M"</f>
        <v>CVRPRI62E07A944M</v>
      </c>
      <c r="I473" s="1" t="s">
        <v>1102</v>
      </c>
      <c r="J473" s="1" t="s">
        <v>1098</v>
      </c>
      <c r="K473" s="1" t="s">
        <v>1101</v>
      </c>
      <c r="AJ473" s="2">
        <v>45007</v>
      </c>
    </row>
    <row r="474" spans="1:36">
      <c r="A474" s="1" t="str">
        <f>"9719958B14"</f>
        <v>9719958B14</v>
      </c>
      <c r="B474" s="1" t="str">
        <f t="shared" si="16"/>
        <v>02406911202</v>
      </c>
      <c r="C474" s="1" t="s">
        <v>13</v>
      </c>
      <c r="D474" s="1" t="s">
        <v>983</v>
      </c>
      <c r="E474" s="1" t="s">
        <v>1096</v>
      </c>
      <c r="F474" s="1" t="s">
        <v>117</v>
      </c>
      <c r="G474" s="1" t="str">
        <f>"02916640275"</f>
        <v>02916640275</v>
      </c>
      <c r="I474" s="1" t="s">
        <v>1103</v>
      </c>
      <c r="J474" s="1" t="s">
        <v>1098</v>
      </c>
      <c r="K474" s="1" t="s">
        <v>1101</v>
      </c>
      <c r="AJ474" s="2">
        <v>45007</v>
      </c>
    </row>
    <row r="475" spans="1:36">
      <c r="A475" s="1" t="str">
        <f>"9719958B14"</f>
        <v>9719958B14</v>
      </c>
      <c r="B475" s="1" t="str">
        <f t="shared" si="16"/>
        <v>02406911202</v>
      </c>
      <c r="C475" s="1" t="s">
        <v>13</v>
      </c>
      <c r="D475" s="1" t="s">
        <v>983</v>
      </c>
      <c r="E475" s="1" t="s">
        <v>1096</v>
      </c>
      <c r="F475" s="1" t="s">
        <v>117</v>
      </c>
      <c r="I475" s="1" t="s">
        <v>1098</v>
      </c>
      <c r="L475" s="1" t="s">
        <v>44</v>
      </c>
      <c r="M475" s="1" t="s">
        <v>1104</v>
      </c>
      <c r="AG475" s="1" t="s">
        <v>124</v>
      </c>
      <c r="AH475" s="2">
        <v>45007</v>
      </c>
      <c r="AI475" s="2">
        <v>46387</v>
      </c>
      <c r="AJ475" s="2">
        <v>45007</v>
      </c>
    </row>
    <row r="476" spans="1:36">
      <c r="A476" s="1" t="str">
        <f>"ZBE3A6C641"</f>
        <v>ZBE3A6C641</v>
      </c>
      <c r="B476" s="1" t="str">
        <f t="shared" si="16"/>
        <v>02406911202</v>
      </c>
      <c r="C476" s="1" t="s">
        <v>13</v>
      </c>
      <c r="D476" s="1" t="s">
        <v>983</v>
      </c>
      <c r="E476" s="1" t="s">
        <v>1105</v>
      </c>
      <c r="F476" s="1" t="s">
        <v>99</v>
      </c>
      <c r="G476" s="1" t="str">
        <f>"PLMGBR63H06A944J"</f>
        <v>PLMGBR63H06A944J</v>
      </c>
      <c r="I476" s="1" t="s">
        <v>1106</v>
      </c>
      <c r="L476" s="1" t="s">
        <v>44</v>
      </c>
      <c r="M476" s="1" t="s">
        <v>1107</v>
      </c>
      <c r="AG476" s="1" t="s">
        <v>1108</v>
      </c>
      <c r="AH476" s="2">
        <v>45016</v>
      </c>
      <c r="AI476" s="2">
        <v>45077</v>
      </c>
      <c r="AJ476" s="2">
        <v>45002</v>
      </c>
    </row>
    <row r="477" spans="1:36">
      <c r="A477" s="1" t="str">
        <f>"972449397B"</f>
        <v>972449397B</v>
      </c>
      <c r="B477" s="1" t="str">
        <f t="shared" si="16"/>
        <v>02406911202</v>
      </c>
      <c r="C477" s="1" t="s">
        <v>13</v>
      </c>
      <c r="D477" s="1" t="s">
        <v>983</v>
      </c>
      <c r="E477" s="1" t="s">
        <v>1109</v>
      </c>
      <c r="F477" s="1" t="s">
        <v>117</v>
      </c>
      <c r="G477" s="1" t="str">
        <f>"03503260402"</f>
        <v>03503260402</v>
      </c>
      <c r="I477" s="1" t="s">
        <v>1110</v>
      </c>
      <c r="L477" s="1" t="s">
        <v>44</v>
      </c>
      <c r="M477" s="1" t="s">
        <v>1111</v>
      </c>
      <c r="AG477" s="1" t="s">
        <v>124</v>
      </c>
      <c r="AH477" s="2">
        <v>45007</v>
      </c>
      <c r="AI477" s="2">
        <v>46387</v>
      </c>
      <c r="AJ477" s="2">
        <v>45006</v>
      </c>
    </row>
    <row r="478" spans="1:36">
      <c r="A478" s="1" t="str">
        <f>"9727076D09"</f>
        <v>9727076D09</v>
      </c>
      <c r="B478" s="1" t="str">
        <f t="shared" si="16"/>
        <v>02406911202</v>
      </c>
      <c r="C478" s="1" t="s">
        <v>13</v>
      </c>
      <c r="D478" s="1" t="s">
        <v>983</v>
      </c>
      <c r="E478" s="1" t="s">
        <v>1112</v>
      </c>
      <c r="F478" s="1" t="s">
        <v>117</v>
      </c>
      <c r="G478" s="1" t="str">
        <f>"01468160393"</f>
        <v>01468160393</v>
      </c>
      <c r="I478" s="1" t="s">
        <v>1060</v>
      </c>
      <c r="L478" s="1" t="s">
        <v>44</v>
      </c>
      <c r="M478" s="1" t="s">
        <v>1113</v>
      </c>
      <c r="AG478" s="1" t="s">
        <v>124</v>
      </c>
      <c r="AH478" s="2">
        <v>45173</v>
      </c>
      <c r="AI478" s="2">
        <v>45443</v>
      </c>
      <c r="AJ478" s="2">
        <v>45009</v>
      </c>
    </row>
    <row r="479" spans="1:36">
      <c r="A479" s="1" t="str">
        <f>"97290222F0"</f>
        <v>97290222F0</v>
      </c>
      <c r="B479" s="1" t="str">
        <f t="shared" si="16"/>
        <v>02406911202</v>
      </c>
      <c r="C479" s="1" t="s">
        <v>13</v>
      </c>
      <c r="D479" s="1" t="s">
        <v>983</v>
      </c>
      <c r="E479" s="1" t="s">
        <v>1114</v>
      </c>
      <c r="F479" s="1" t="s">
        <v>117</v>
      </c>
      <c r="G479" s="1" t="str">
        <f>"02160730798"</f>
        <v>02160730798</v>
      </c>
      <c r="I479" s="1" t="s">
        <v>1115</v>
      </c>
      <c r="J479" s="1" t="s">
        <v>1116</v>
      </c>
      <c r="K479" s="1" t="s">
        <v>51</v>
      </c>
      <c r="AJ479" s="2">
        <v>45009</v>
      </c>
    </row>
    <row r="480" spans="1:36">
      <c r="A480" s="1" t="str">
        <f>"97290222F0"</f>
        <v>97290222F0</v>
      </c>
      <c r="B480" s="1" t="str">
        <f t="shared" si="16"/>
        <v>02406911202</v>
      </c>
      <c r="C480" s="1" t="s">
        <v>13</v>
      </c>
      <c r="D480" s="1" t="s">
        <v>983</v>
      </c>
      <c r="E480" s="1" t="s">
        <v>1114</v>
      </c>
      <c r="F480" s="1" t="s">
        <v>117</v>
      </c>
      <c r="G480" s="1" t="str">
        <f>"05035680288"</f>
        <v>05035680288</v>
      </c>
      <c r="I480" s="1" t="s">
        <v>1117</v>
      </c>
      <c r="J480" s="1" t="s">
        <v>1116</v>
      </c>
      <c r="K480" s="1" t="s">
        <v>53</v>
      </c>
      <c r="AJ480" s="2">
        <v>45009</v>
      </c>
    </row>
    <row r="481" spans="1:36">
      <c r="A481" s="1" t="str">
        <f>"97290222F0"</f>
        <v>97290222F0</v>
      </c>
      <c r="B481" s="1" t="str">
        <f t="shared" si="16"/>
        <v>02406911202</v>
      </c>
      <c r="C481" s="1" t="s">
        <v>13</v>
      </c>
      <c r="D481" s="1" t="s">
        <v>983</v>
      </c>
      <c r="E481" s="1" t="s">
        <v>1114</v>
      </c>
      <c r="F481" s="1" t="s">
        <v>117</v>
      </c>
      <c r="I481" s="1" t="s">
        <v>1116</v>
      </c>
      <c r="L481" s="1" t="s">
        <v>44</v>
      </c>
      <c r="M481" s="1" t="s">
        <v>1118</v>
      </c>
      <c r="AG481" s="1" t="s">
        <v>1119</v>
      </c>
      <c r="AH481" s="2">
        <v>45173</v>
      </c>
      <c r="AI481" s="2">
        <v>45863</v>
      </c>
      <c r="AJ481" s="2">
        <v>45009</v>
      </c>
    </row>
    <row r="482" spans="1:36">
      <c r="A482" s="1" t="str">
        <f>"9731201919"</f>
        <v>9731201919</v>
      </c>
      <c r="B482" s="1" t="str">
        <f t="shared" si="16"/>
        <v>02406911202</v>
      </c>
      <c r="C482" s="1" t="s">
        <v>13</v>
      </c>
      <c r="D482" s="1" t="s">
        <v>983</v>
      </c>
      <c r="E482" s="1" t="s">
        <v>1120</v>
      </c>
      <c r="F482" s="1" t="s">
        <v>117</v>
      </c>
      <c r="G482" s="1" t="str">
        <f>"01468160393"</f>
        <v>01468160393</v>
      </c>
      <c r="I482" s="1" t="s">
        <v>1060</v>
      </c>
      <c r="L482" s="1" t="s">
        <v>44</v>
      </c>
      <c r="M482" s="1" t="s">
        <v>1121</v>
      </c>
      <c r="AG482" s="1" t="s">
        <v>124</v>
      </c>
      <c r="AH482" s="2">
        <v>45166</v>
      </c>
      <c r="AI482" s="2">
        <v>45789</v>
      </c>
      <c r="AJ482" s="2">
        <v>45009</v>
      </c>
    </row>
    <row r="483" spans="1:36">
      <c r="A483" s="1" t="str">
        <f>"97316278A5"</f>
        <v>97316278A5</v>
      </c>
      <c r="B483" s="1" t="str">
        <f t="shared" si="16"/>
        <v>02406911202</v>
      </c>
      <c r="C483" s="1" t="s">
        <v>13</v>
      </c>
      <c r="D483" s="1" t="s">
        <v>983</v>
      </c>
      <c r="E483" s="1" t="s">
        <v>1122</v>
      </c>
      <c r="F483" s="1" t="s">
        <v>117</v>
      </c>
      <c r="G483" s="1" t="str">
        <f>"01468160393"</f>
        <v>01468160393</v>
      </c>
      <c r="I483" s="1" t="s">
        <v>1060</v>
      </c>
      <c r="L483" s="1" t="s">
        <v>44</v>
      </c>
      <c r="M483" s="1" t="s">
        <v>1123</v>
      </c>
      <c r="AG483" s="1" t="s">
        <v>124</v>
      </c>
      <c r="AH483" s="2">
        <v>45166</v>
      </c>
      <c r="AI483" s="2">
        <v>45789</v>
      </c>
      <c r="AJ483" s="2">
        <v>45009</v>
      </c>
    </row>
    <row r="484" spans="1:36">
      <c r="A484" s="1" t="str">
        <f>"9728738891"</f>
        <v>9728738891</v>
      </c>
      <c r="B484" s="1" t="str">
        <f t="shared" si="16"/>
        <v>02406911202</v>
      </c>
      <c r="C484" s="1" t="s">
        <v>13</v>
      </c>
      <c r="D484" s="1" t="s">
        <v>983</v>
      </c>
      <c r="E484" s="1" t="s">
        <v>1124</v>
      </c>
      <c r="F484" s="1" t="s">
        <v>117</v>
      </c>
      <c r="G484" s="1" t="str">
        <f>"00166600270"</f>
        <v>00166600270</v>
      </c>
      <c r="I484" s="1" t="s">
        <v>1125</v>
      </c>
      <c r="L484" s="1" t="s">
        <v>44</v>
      </c>
      <c r="M484" s="1" t="s">
        <v>1126</v>
      </c>
      <c r="AG484" s="1" t="s">
        <v>124</v>
      </c>
      <c r="AH484" s="2">
        <v>45105</v>
      </c>
      <c r="AI484" s="2">
        <v>45405</v>
      </c>
      <c r="AJ484" s="2">
        <v>45009</v>
      </c>
    </row>
    <row r="485" spans="1:36">
      <c r="A485" s="1" t="str">
        <f>"9728282046"</f>
        <v>9728282046</v>
      </c>
      <c r="B485" s="1" t="str">
        <f t="shared" si="16"/>
        <v>02406911202</v>
      </c>
      <c r="C485" s="1" t="s">
        <v>13</v>
      </c>
      <c r="D485" s="1" t="s">
        <v>983</v>
      </c>
      <c r="E485" s="1" t="s">
        <v>1127</v>
      </c>
      <c r="F485" s="1" t="s">
        <v>117</v>
      </c>
      <c r="G485" s="1" t="str">
        <f>"00140990409"</f>
        <v>00140990409</v>
      </c>
      <c r="I485" s="1" t="s">
        <v>1128</v>
      </c>
      <c r="L485" s="1" t="s">
        <v>44</v>
      </c>
      <c r="M485" s="1" t="s">
        <v>1129</v>
      </c>
      <c r="AG485" s="1" t="s">
        <v>124</v>
      </c>
      <c r="AH485" s="2">
        <v>45121</v>
      </c>
      <c r="AI485" s="2">
        <v>45606</v>
      </c>
      <c r="AJ485" s="2">
        <v>45009</v>
      </c>
    </row>
    <row r="486" spans="1:36">
      <c r="A486" s="1" t="str">
        <f>"973284883F"</f>
        <v>973284883F</v>
      </c>
      <c r="B486" s="1" t="str">
        <f t="shared" si="16"/>
        <v>02406911202</v>
      </c>
      <c r="C486" s="1" t="s">
        <v>13</v>
      </c>
      <c r="D486" s="1" t="s">
        <v>983</v>
      </c>
      <c r="E486" s="1" t="s">
        <v>1130</v>
      </c>
      <c r="F486" s="1" t="s">
        <v>117</v>
      </c>
      <c r="G486" s="1" t="str">
        <f>"00140990409"</f>
        <v>00140990409</v>
      </c>
      <c r="I486" s="1" t="s">
        <v>1128</v>
      </c>
      <c r="L486" s="1" t="s">
        <v>44</v>
      </c>
      <c r="M486" s="1" t="s">
        <v>1131</v>
      </c>
      <c r="AG486" s="1" t="s">
        <v>124</v>
      </c>
      <c r="AH486" s="2">
        <v>45127</v>
      </c>
      <c r="AI486" s="2">
        <v>45577</v>
      </c>
      <c r="AJ486" s="2">
        <v>45009</v>
      </c>
    </row>
    <row r="487" spans="1:36">
      <c r="A487" s="1" t="str">
        <f>"97333820ED"</f>
        <v>97333820ED</v>
      </c>
      <c r="B487" s="1" t="str">
        <f t="shared" si="16"/>
        <v>02406911202</v>
      </c>
      <c r="C487" s="1" t="s">
        <v>13</v>
      </c>
      <c r="D487" s="1" t="s">
        <v>983</v>
      </c>
      <c r="E487" s="1" t="s">
        <v>1132</v>
      </c>
      <c r="F487" s="1" t="s">
        <v>117</v>
      </c>
      <c r="G487" s="1" t="str">
        <f>"07465760150"</f>
        <v>07465760150</v>
      </c>
      <c r="I487" s="1" t="s">
        <v>1133</v>
      </c>
      <c r="J487" s="1" t="s">
        <v>1134</v>
      </c>
      <c r="K487" s="1" t="s">
        <v>51</v>
      </c>
      <c r="AJ487" s="2">
        <v>45008</v>
      </c>
    </row>
    <row r="488" spans="1:36">
      <c r="A488" s="1" t="str">
        <f>"97333820ED"</f>
        <v>97333820ED</v>
      </c>
      <c r="B488" s="1" t="str">
        <f t="shared" si="16"/>
        <v>02406911202</v>
      </c>
      <c r="C488" s="1" t="s">
        <v>13</v>
      </c>
      <c r="D488" s="1" t="s">
        <v>983</v>
      </c>
      <c r="E488" s="1" t="s">
        <v>1132</v>
      </c>
      <c r="F488" s="1" t="s">
        <v>117</v>
      </c>
      <c r="G488" s="1" t="str">
        <f>"02242161202"</f>
        <v>02242161202</v>
      </c>
      <c r="I488" s="1" t="s">
        <v>1135</v>
      </c>
      <c r="J488" s="1" t="s">
        <v>1134</v>
      </c>
      <c r="K488" s="1" t="s">
        <v>53</v>
      </c>
      <c r="AJ488" s="2">
        <v>45008</v>
      </c>
    </row>
    <row r="489" spans="1:36">
      <c r="A489" s="1" t="str">
        <f>"97333820ED"</f>
        <v>97333820ED</v>
      </c>
      <c r="B489" s="1" t="str">
        <f t="shared" si="16"/>
        <v>02406911202</v>
      </c>
      <c r="C489" s="1" t="s">
        <v>13</v>
      </c>
      <c r="D489" s="1" t="s">
        <v>983</v>
      </c>
      <c r="E489" s="1" t="s">
        <v>1132</v>
      </c>
      <c r="F489" s="1" t="s">
        <v>117</v>
      </c>
      <c r="G489" s="1" t="str">
        <f>"02328350018"</f>
        <v>02328350018</v>
      </c>
      <c r="I489" s="1" t="s">
        <v>1136</v>
      </c>
      <c r="J489" s="1" t="s">
        <v>1134</v>
      </c>
      <c r="K489" s="1" t="s">
        <v>53</v>
      </c>
      <c r="AJ489" s="2">
        <v>45008</v>
      </c>
    </row>
    <row r="490" spans="1:36">
      <c r="A490" s="1" t="str">
        <f>"97333820ED"</f>
        <v>97333820ED</v>
      </c>
      <c r="B490" s="1" t="str">
        <f t="shared" si="16"/>
        <v>02406911202</v>
      </c>
      <c r="C490" s="1" t="s">
        <v>13</v>
      </c>
      <c r="D490" s="1" t="s">
        <v>983</v>
      </c>
      <c r="E490" s="1" t="s">
        <v>1132</v>
      </c>
      <c r="F490" s="1" t="s">
        <v>117</v>
      </c>
      <c r="I490" s="1" t="s">
        <v>1134</v>
      </c>
      <c r="L490" s="1" t="s">
        <v>44</v>
      </c>
      <c r="M490" s="1" t="s">
        <v>1137</v>
      </c>
      <c r="AG490" s="1" t="s">
        <v>124</v>
      </c>
      <c r="AH490" s="2">
        <v>45010</v>
      </c>
      <c r="AI490" s="2">
        <v>46387</v>
      </c>
      <c r="AJ490" s="2">
        <v>45008</v>
      </c>
    </row>
    <row r="491" spans="1:36">
      <c r="A491" s="1" t="str">
        <f>"9733416CF8"</f>
        <v>9733416CF8</v>
      </c>
      <c r="B491" s="1" t="str">
        <f t="shared" si="16"/>
        <v>02406911202</v>
      </c>
      <c r="C491" s="1" t="s">
        <v>13</v>
      </c>
      <c r="D491" s="1" t="s">
        <v>983</v>
      </c>
      <c r="E491" s="1" t="s">
        <v>1138</v>
      </c>
      <c r="F491" s="1" t="s">
        <v>117</v>
      </c>
      <c r="G491" s="1" t="str">
        <f>"07465760150"</f>
        <v>07465760150</v>
      </c>
      <c r="I491" s="1" t="s">
        <v>1133</v>
      </c>
      <c r="J491" s="1" t="s">
        <v>1134</v>
      </c>
      <c r="K491" s="1" t="s">
        <v>51</v>
      </c>
      <c r="AJ491" s="2">
        <v>45008</v>
      </c>
    </row>
    <row r="492" spans="1:36">
      <c r="A492" s="1" t="str">
        <f>"9733416CF8"</f>
        <v>9733416CF8</v>
      </c>
      <c r="B492" s="1" t="str">
        <f t="shared" si="16"/>
        <v>02406911202</v>
      </c>
      <c r="C492" s="1" t="s">
        <v>13</v>
      </c>
      <c r="D492" s="1" t="s">
        <v>983</v>
      </c>
      <c r="E492" s="1" t="s">
        <v>1138</v>
      </c>
      <c r="F492" s="1" t="s">
        <v>117</v>
      </c>
      <c r="G492" s="1" t="str">
        <f>"02242161202"</f>
        <v>02242161202</v>
      </c>
      <c r="I492" s="1" t="s">
        <v>1135</v>
      </c>
      <c r="J492" s="1" t="s">
        <v>1134</v>
      </c>
      <c r="K492" s="1" t="s">
        <v>53</v>
      </c>
      <c r="AJ492" s="2">
        <v>45008</v>
      </c>
    </row>
    <row r="493" spans="1:36">
      <c r="A493" s="1" t="str">
        <f>"9733416CF8"</f>
        <v>9733416CF8</v>
      </c>
      <c r="B493" s="1" t="str">
        <f t="shared" si="16"/>
        <v>02406911202</v>
      </c>
      <c r="C493" s="1" t="s">
        <v>13</v>
      </c>
      <c r="D493" s="1" t="s">
        <v>983</v>
      </c>
      <c r="E493" s="1" t="s">
        <v>1138</v>
      </c>
      <c r="F493" s="1" t="s">
        <v>117</v>
      </c>
      <c r="G493" s="1" t="str">
        <f>"02328350018"</f>
        <v>02328350018</v>
      </c>
      <c r="I493" s="1" t="s">
        <v>1136</v>
      </c>
      <c r="J493" s="1" t="s">
        <v>1134</v>
      </c>
      <c r="K493" s="1" t="s">
        <v>53</v>
      </c>
      <c r="AJ493" s="2">
        <v>45008</v>
      </c>
    </row>
    <row r="494" spans="1:36">
      <c r="A494" s="1" t="str">
        <f>"9733416CF8"</f>
        <v>9733416CF8</v>
      </c>
      <c r="B494" s="1" t="str">
        <f t="shared" si="16"/>
        <v>02406911202</v>
      </c>
      <c r="C494" s="1" t="s">
        <v>13</v>
      </c>
      <c r="D494" s="1" t="s">
        <v>983</v>
      </c>
      <c r="E494" s="1" t="s">
        <v>1138</v>
      </c>
      <c r="F494" s="1" t="s">
        <v>117</v>
      </c>
      <c r="I494" s="1" t="s">
        <v>1134</v>
      </c>
      <c r="L494" s="1" t="s">
        <v>44</v>
      </c>
      <c r="M494" s="1" t="s">
        <v>1139</v>
      </c>
      <c r="AG494" s="1" t="s">
        <v>124</v>
      </c>
      <c r="AH494" s="2">
        <v>45010</v>
      </c>
      <c r="AI494" s="2">
        <v>46387</v>
      </c>
      <c r="AJ494" s="2">
        <v>45008</v>
      </c>
    </row>
    <row r="495" spans="1:36">
      <c r="A495" s="1" t="str">
        <f>"97344122E8"</f>
        <v>97344122E8</v>
      </c>
      <c r="B495" s="1" t="str">
        <f t="shared" si="16"/>
        <v>02406911202</v>
      </c>
      <c r="C495" s="1" t="s">
        <v>13</v>
      </c>
      <c r="D495" s="1" t="s">
        <v>983</v>
      </c>
      <c r="E495" s="1" t="s">
        <v>1140</v>
      </c>
      <c r="F495" s="1" t="s">
        <v>117</v>
      </c>
      <c r="G495" s="1" t="str">
        <f>"06605700720"</f>
        <v>06605700720</v>
      </c>
      <c r="I495" s="1" t="s">
        <v>1141</v>
      </c>
      <c r="L495" s="1" t="s">
        <v>44</v>
      </c>
      <c r="M495" s="1" t="s">
        <v>1142</v>
      </c>
      <c r="AG495" s="1" t="s">
        <v>124</v>
      </c>
      <c r="AH495" s="2">
        <v>45173</v>
      </c>
      <c r="AI495" s="2">
        <v>45600</v>
      </c>
      <c r="AJ495" s="2">
        <v>45012</v>
      </c>
    </row>
    <row r="496" spans="1:36">
      <c r="A496" s="1" t="str">
        <f>"9735108144"</f>
        <v>9735108144</v>
      </c>
      <c r="B496" s="1" t="str">
        <f t="shared" si="16"/>
        <v>02406911202</v>
      </c>
      <c r="C496" s="1" t="s">
        <v>13</v>
      </c>
      <c r="D496" s="1" t="s">
        <v>983</v>
      </c>
      <c r="E496" s="1" t="s">
        <v>1143</v>
      </c>
      <c r="F496" s="1" t="s">
        <v>117</v>
      </c>
      <c r="G496" s="1" t="str">
        <f>"07465760150"</f>
        <v>07465760150</v>
      </c>
      <c r="I496" s="1" t="s">
        <v>1133</v>
      </c>
      <c r="J496" s="1" t="s">
        <v>1134</v>
      </c>
      <c r="K496" s="1" t="s">
        <v>51</v>
      </c>
      <c r="AJ496" s="2">
        <v>45009</v>
      </c>
    </row>
    <row r="497" spans="1:36">
      <c r="A497" s="1" t="str">
        <f>"9735108144"</f>
        <v>9735108144</v>
      </c>
      <c r="B497" s="1" t="str">
        <f t="shared" si="16"/>
        <v>02406911202</v>
      </c>
      <c r="C497" s="1" t="s">
        <v>13</v>
      </c>
      <c r="D497" s="1" t="s">
        <v>983</v>
      </c>
      <c r="E497" s="1" t="s">
        <v>1143</v>
      </c>
      <c r="F497" s="1" t="s">
        <v>117</v>
      </c>
      <c r="G497" s="1" t="str">
        <f>"02242161202"</f>
        <v>02242161202</v>
      </c>
      <c r="I497" s="1" t="s">
        <v>1135</v>
      </c>
      <c r="J497" s="1" t="s">
        <v>1134</v>
      </c>
      <c r="K497" s="1" t="s">
        <v>53</v>
      </c>
      <c r="AJ497" s="2">
        <v>45009</v>
      </c>
    </row>
    <row r="498" spans="1:36">
      <c r="A498" s="1" t="str">
        <f>"9735108144"</f>
        <v>9735108144</v>
      </c>
      <c r="B498" s="1" t="str">
        <f t="shared" si="16"/>
        <v>02406911202</v>
      </c>
      <c r="C498" s="1" t="s">
        <v>13</v>
      </c>
      <c r="D498" s="1" t="s">
        <v>983</v>
      </c>
      <c r="E498" s="1" t="s">
        <v>1143</v>
      </c>
      <c r="F498" s="1" t="s">
        <v>117</v>
      </c>
      <c r="G498" s="1" t="str">
        <f>"02328350018"</f>
        <v>02328350018</v>
      </c>
      <c r="I498" s="1" t="s">
        <v>1136</v>
      </c>
      <c r="J498" s="1" t="s">
        <v>1134</v>
      </c>
      <c r="K498" s="1" t="s">
        <v>53</v>
      </c>
      <c r="AJ498" s="2">
        <v>45009</v>
      </c>
    </row>
    <row r="499" spans="1:36">
      <c r="A499" s="1" t="str">
        <f>"9735108144"</f>
        <v>9735108144</v>
      </c>
      <c r="B499" s="1" t="str">
        <f t="shared" si="16"/>
        <v>02406911202</v>
      </c>
      <c r="C499" s="1" t="s">
        <v>13</v>
      </c>
      <c r="D499" s="1" t="s">
        <v>983</v>
      </c>
      <c r="E499" s="1" t="s">
        <v>1143</v>
      </c>
      <c r="F499" s="1" t="s">
        <v>117</v>
      </c>
      <c r="I499" s="1" t="s">
        <v>1134</v>
      </c>
      <c r="L499" s="1" t="s">
        <v>44</v>
      </c>
      <c r="M499" s="1" t="s">
        <v>1144</v>
      </c>
      <c r="AG499" s="1" t="s">
        <v>124</v>
      </c>
      <c r="AH499" s="2">
        <v>45009</v>
      </c>
      <c r="AI499" s="2">
        <v>46387</v>
      </c>
      <c r="AJ499" s="2">
        <v>45009</v>
      </c>
    </row>
    <row r="500" spans="1:36">
      <c r="A500" s="1" t="str">
        <f>"9736159493"</f>
        <v>9736159493</v>
      </c>
      <c r="B500" s="1" t="str">
        <f t="shared" si="16"/>
        <v>02406911202</v>
      </c>
      <c r="C500" s="1" t="s">
        <v>13</v>
      </c>
      <c r="D500" s="1" t="s">
        <v>983</v>
      </c>
      <c r="E500" s="1" t="s">
        <v>1145</v>
      </c>
      <c r="F500" s="1" t="s">
        <v>117</v>
      </c>
      <c r="G500" s="1" t="str">
        <f>"01755470158"</f>
        <v>01755470158</v>
      </c>
      <c r="I500" s="1" t="s">
        <v>1146</v>
      </c>
      <c r="L500" s="1" t="s">
        <v>44</v>
      </c>
      <c r="M500" s="1" t="s">
        <v>1147</v>
      </c>
      <c r="AG500" s="1" t="s">
        <v>124</v>
      </c>
      <c r="AH500" s="2">
        <v>45173</v>
      </c>
      <c r="AI500" s="2">
        <v>45903</v>
      </c>
      <c r="AJ500" s="2">
        <v>45012</v>
      </c>
    </row>
    <row r="501" spans="1:36">
      <c r="A501" s="1" t="str">
        <f>"9736276520"</f>
        <v>9736276520</v>
      </c>
      <c r="B501" s="1" t="str">
        <f t="shared" si="16"/>
        <v>02406911202</v>
      </c>
      <c r="C501" s="1" t="s">
        <v>13</v>
      </c>
      <c r="D501" s="1" t="s">
        <v>983</v>
      </c>
      <c r="E501" s="1" t="s">
        <v>1148</v>
      </c>
      <c r="F501" s="1" t="s">
        <v>117</v>
      </c>
      <c r="G501" s="1" t="str">
        <f>"00140990409"</f>
        <v>00140990409</v>
      </c>
      <c r="I501" s="1" t="s">
        <v>1128</v>
      </c>
      <c r="L501" s="1" t="s">
        <v>44</v>
      </c>
      <c r="M501" s="1" t="s">
        <v>1149</v>
      </c>
      <c r="AG501" s="1" t="s">
        <v>124</v>
      </c>
      <c r="AH501" s="2">
        <v>45121</v>
      </c>
      <c r="AI501" s="2">
        <v>46065</v>
      </c>
      <c r="AJ501" s="2">
        <v>44978</v>
      </c>
    </row>
    <row r="502" spans="1:36">
      <c r="A502" s="1" t="str">
        <f>"9733475DA8"</f>
        <v>9733475DA8</v>
      </c>
      <c r="B502" s="1" t="str">
        <f t="shared" si="16"/>
        <v>02406911202</v>
      </c>
      <c r="C502" s="1" t="s">
        <v>13</v>
      </c>
      <c r="D502" s="1" t="s">
        <v>983</v>
      </c>
      <c r="E502" s="1" t="s">
        <v>1150</v>
      </c>
      <c r="F502" s="1" t="s">
        <v>117</v>
      </c>
      <c r="G502" s="1" t="str">
        <f>"02739830350"</f>
        <v>02739830350</v>
      </c>
      <c r="I502" s="1" t="s">
        <v>1151</v>
      </c>
      <c r="J502" s="1" t="s">
        <v>1152</v>
      </c>
      <c r="K502" s="1" t="s">
        <v>51</v>
      </c>
      <c r="AJ502" s="2">
        <v>45012</v>
      </c>
    </row>
    <row r="503" spans="1:36">
      <c r="A503" s="1" t="str">
        <f>"9733475DA8"</f>
        <v>9733475DA8</v>
      </c>
      <c r="B503" s="1" t="str">
        <f t="shared" si="16"/>
        <v>02406911202</v>
      </c>
      <c r="C503" s="1" t="s">
        <v>13</v>
      </c>
      <c r="D503" s="1" t="s">
        <v>983</v>
      </c>
      <c r="E503" s="1" t="s">
        <v>1150</v>
      </c>
      <c r="F503" s="1" t="s">
        <v>117</v>
      </c>
      <c r="G503" s="1" t="str">
        <f>"14883781008"</f>
        <v>14883781008</v>
      </c>
      <c r="I503" s="1" t="s">
        <v>1153</v>
      </c>
      <c r="J503" s="1" t="s">
        <v>1152</v>
      </c>
      <c r="K503" s="1" t="s">
        <v>53</v>
      </c>
      <c r="AJ503" s="2">
        <v>45012</v>
      </c>
    </row>
    <row r="504" spans="1:36">
      <c r="A504" s="1" t="str">
        <f>"9733475DA8"</f>
        <v>9733475DA8</v>
      </c>
      <c r="B504" s="1" t="str">
        <f t="shared" si="16"/>
        <v>02406911202</v>
      </c>
      <c r="C504" s="1" t="s">
        <v>13</v>
      </c>
      <c r="D504" s="1" t="s">
        <v>983</v>
      </c>
      <c r="E504" s="1" t="s">
        <v>1150</v>
      </c>
      <c r="F504" s="1" t="s">
        <v>117</v>
      </c>
      <c r="I504" s="1" t="s">
        <v>1152</v>
      </c>
      <c r="L504" s="1" t="s">
        <v>44</v>
      </c>
      <c r="M504" s="1" t="s">
        <v>1154</v>
      </c>
      <c r="AG504" s="1" t="s">
        <v>124</v>
      </c>
      <c r="AH504" s="2">
        <v>45124</v>
      </c>
      <c r="AI504" s="2">
        <v>45354</v>
      </c>
      <c r="AJ504" s="2">
        <v>45012</v>
      </c>
    </row>
    <row r="505" spans="1:36">
      <c r="A505" s="1" t="str">
        <f>"97362786C6"</f>
        <v>97362786C6</v>
      </c>
      <c r="B505" s="1" t="str">
        <f t="shared" si="16"/>
        <v>02406911202</v>
      </c>
      <c r="C505" s="1" t="s">
        <v>13</v>
      </c>
      <c r="D505" s="1" t="s">
        <v>983</v>
      </c>
      <c r="E505" s="1" t="s">
        <v>1155</v>
      </c>
      <c r="F505" s="1" t="s">
        <v>117</v>
      </c>
      <c r="G505" s="1" t="str">
        <f>"00166600270"</f>
        <v>00166600270</v>
      </c>
      <c r="I505" s="1" t="s">
        <v>1125</v>
      </c>
      <c r="L505" s="1" t="s">
        <v>44</v>
      </c>
      <c r="M505" s="1" t="s">
        <v>1156</v>
      </c>
      <c r="AG505" s="1" t="s">
        <v>124</v>
      </c>
      <c r="AH505" s="2">
        <v>45105</v>
      </c>
      <c r="AI505" s="2">
        <v>45408</v>
      </c>
      <c r="AJ505" s="2">
        <v>44978</v>
      </c>
    </row>
    <row r="506" spans="1:36">
      <c r="A506" s="1" t="str">
        <f>"9736606573"</f>
        <v>9736606573</v>
      </c>
      <c r="B506" s="1" t="str">
        <f t="shared" si="16"/>
        <v>02406911202</v>
      </c>
      <c r="C506" s="1" t="s">
        <v>13</v>
      </c>
      <c r="D506" s="1" t="s">
        <v>983</v>
      </c>
      <c r="E506" s="1" t="s">
        <v>1157</v>
      </c>
      <c r="F506" s="1" t="s">
        <v>117</v>
      </c>
      <c r="G506" s="1" t="str">
        <f>"06605700720"</f>
        <v>06605700720</v>
      </c>
      <c r="I506" s="1" t="s">
        <v>1141</v>
      </c>
      <c r="L506" s="1" t="s">
        <v>44</v>
      </c>
      <c r="M506" s="1" t="s">
        <v>1158</v>
      </c>
      <c r="AG506" s="1" t="s">
        <v>124</v>
      </c>
      <c r="AH506" s="2">
        <v>45173</v>
      </c>
      <c r="AI506" s="2">
        <v>45656</v>
      </c>
      <c r="AJ506" s="2">
        <v>45012</v>
      </c>
    </row>
    <row r="507" spans="1:36">
      <c r="A507" s="1" t="str">
        <f>"97371885BB"</f>
        <v>97371885BB</v>
      </c>
      <c r="B507" s="1" t="str">
        <f t="shared" si="16"/>
        <v>02406911202</v>
      </c>
      <c r="C507" s="1" t="s">
        <v>13</v>
      </c>
      <c r="D507" s="1" t="s">
        <v>983</v>
      </c>
      <c r="E507" s="1" t="s">
        <v>1159</v>
      </c>
      <c r="F507" s="1" t="s">
        <v>117</v>
      </c>
      <c r="G507" s="1" t="str">
        <f>"07465760150"</f>
        <v>07465760150</v>
      </c>
      <c r="I507" s="1" t="s">
        <v>1133</v>
      </c>
      <c r="J507" s="1" t="s">
        <v>1134</v>
      </c>
      <c r="K507" s="1" t="s">
        <v>51</v>
      </c>
      <c r="AJ507" s="2">
        <v>45012</v>
      </c>
    </row>
    <row r="508" spans="1:36">
      <c r="A508" s="1" t="str">
        <f>"97371885BB"</f>
        <v>97371885BB</v>
      </c>
      <c r="B508" s="1" t="str">
        <f t="shared" si="16"/>
        <v>02406911202</v>
      </c>
      <c r="C508" s="1" t="s">
        <v>13</v>
      </c>
      <c r="D508" s="1" t="s">
        <v>983</v>
      </c>
      <c r="E508" s="1" t="s">
        <v>1159</v>
      </c>
      <c r="F508" s="1" t="s">
        <v>117</v>
      </c>
      <c r="G508" s="1" t="str">
        <f>"02242161202"</f>
        <v>02242161202</v>
      </c>
      <c r="I508" s="1" t="s">
        <v>1135</v>
      </c>
      <c r="J508" s="1" t="s">
        <v>1134</v>
      </c>
      <c r="K508" s="1" t="s">
        <v>53</v>
      </c>
      <c r="AJ508" s="2">
        <v>45012</v>
      </c>
    </row>
    <row r="509" spans="1:36">
      <c r="A509" s="1" t="str">
        <f>"97371885BB"</f>
        <v>97371885BB</v>
      </c>
      <c r="B509" s="1" t="str">
        <f t="shared" si="16"/>
        <v>02406911202</v>
      </c>
      <c r="C509" s="1" t="s">
        <v>13</v>
      </c>
      <c r="D509" s="1" t="s">
        <v>983</v>
      </c>
      <c r="E509" s="1" t="s">
        <v>1159</v>
      </c>
      <c r="F509" s="1" t="s">
        <v>117</v>
      </c>
      <c r="G509" s="1" t="str">
        <f>"02328350018"</f>
        <v>02328350018</v>
      </c>
      <c r="I509" s="1" t="s">
        <v>1136</v>
      </c>
      <c r="J509" s="1" t="s">
        <v>1134</v>
      </c>
      <c r="K509" s="1" t="s">
        <v>53</v>
      </c>
      <c r="AJ509" s="2">
        <v>45012</v>
      </c>
    </row>
    <row r="510" spans="1:36">
      <c r="A510" s="1" t="str">
        <f>"97371885BB"</f>
        <v>97371885BB</v>
      </c>
      <c r="B510" s="1" t="str">
        <f t="shared" si="16"/>
        <v>02406911202</v>
      </c>
      <c r="C510" s="1" t="s">
        <v>13</v>
      </c>
      <c r="D510" s="1" t="s">
        <v>983</v>
      </c>
      <c r="E510" s="1" t="s">
        <v>1159</v>
      </c>
      <c r="F510" s="1" t="s">
        <v>117</v>
      </c>
      <c r="I510" s="1" t="s">
        <v>1134</v>
      </c>
      <c r="L510" s="1" t="s">
        <v>44</v>
      </c>
      <c r="M510" s="1" t="s">
        <v>1160</v>
      </c>
      <c r="AG510" s="1" t="s">
        <v>124</v>
      </c>
      <c r="AH510" s="2">
        <v>45012</v>
      </c>
      <c r="AI510" s="2">
        <v>46387</v>
      </c>
      <c r="AJ510" s="2">
        <v>45012</v>
      </c>
    </row>
    <row r="511" spans="1:36">
      <c r="A511" s="1" t="str">
        <f>"9735803EC8"</f>
        <v>9735803EC8</v>
      </c>
      <c r="B511" s="1" t="str">
        <f t="shared" si="16"/>
        <v>02406911202</v>
      </c>
      <c r="C511" s="1" t="s">
        <v>13</v>
      </c>
      <c r="D511" s="1" t="s">
        <v>983</v>
      </c>
      <c r="E511" s="1" t="s">
        <v>1161</v>
      </c>
      <c r="F511" s="1" t="s">
        <v>117</v>
      </c>
      <c r="G511" s="1" t="str">
        <f>"02739830350"</f>
        <v>02739830350</v>
      </c>
      <c r="I511" s="1" t="s">
        <v>1151</v>
      </c>
      <c r="J511" s="1" t="s">
        <v>1152</v>
      </c>
      <c r="K511" s="1" t="s">
        <v>51</v>
      </c>
      <c r="AJ511" s="2">
        <v>45015</v>
      </c>
    </row>
    <row r="512" spans="1:36">
      <c r="A512" s="1" t="str">
        <f>"9735803EC8"</f>
        <v>9735803EC8</v>
      </c>
      <c r="B512" s="1" t="str">
        <f t="shared" si="16"/>
        <v>02406911202</v>
      </c>
      <c r="C512" s="1" t="s">
        <v>13</v>
      </c>
      <c r="D512" s="1" t="s">
        <v>983</v>
      </c>
      <c r="E512" s="1" t="s">
        <v>1161</v>
      </c>
      <c r="F512" s="1" t="s">
        <v>117</v>
      </c>
      <c r="G512" s="1" t="str">
        <f>"14883781008"</f>
        <v>14883781008</v>
      </c>
      <c r="I512" s="1" t="s">
        <v>1153</v>
      </c>
      <c r="J512" s="1" t="s">
        <v>1152</v>
      </c>
      <c r="K512" s="1" t="s">
        <v>53</v>
      </c>
      <c r="AJ512" s="2">
        <v>45015</v>
      </c>
    </row>
    <row r="513" spans="1:36">
      <c r="A513" s="1" t="str">
        <f>"9735803EC8"</f>
        <v>9735803EC8</v>
      </c>
      <c r="B513" s="1" t="str">
        <f t="shared" si="16"/>
        <v>02406911202</v>
      </c>
      <c r="C513" s="1" t="s">
        <v>13</v>
      </c>
      <c r="D513" s="1" t="s">
        <v>983</v>
      </c>
      <c r="E513" s="1" t="s">
        <v>1161</v>
      </c>
      <c r="F513" s="1" t="s">
        <v>117</v>
      </c>
      <c r="I513" s="1" t="s">
        <v>1152</v>
      </c>
      <c r="L513" s="1" t="s">
        <v>44</v>
      </c>
      <c r="M513" s="1" t="s">
        <v>1162</v>
      </c>
      <c r="AG513" s="1" t="s">
        <v>124</v>
      </c>
      <c r="AH513" s="2">
        <v>45127</v>
      </c>
      <c r="AI513" s="2">
        <v>45492</v>
      </c>
      <c r="AJ513" s="2">
        <v>45015</v>
      </c>
    </row>
    <row r="514" spans="1:36">
      <c r="A514" s="1" t="str">
        <f>"9736311203"</f>
        <v>9736311203</v>
      </c>
      <c r="B514" s="1" t="str">
        <f t="shared" ref="B514:B581" si="18">"02406911202"</f>
        <v>02406911202</v>
      </c>
      <c r="C514" s="1" t="s">
        <v>13</v>
      </c>
      <c r="D514" s="1" t="s">
        <v>983</v>
      </c>
      <c r="E514" s="1" t="s">
        <v>1163</v>
      </c>
      <c r="F514" s="1" t="s">
        <v>117</v>
      </c>
      <c r="G514" s="1" t="str">
        <f>"01468160393"</f>
        <v>01468160393</v>
      </c>
      <c r="I514" s="1" t="s">
        <v>1060</v>
      </c>
      <c r="L514" s="1" t="s">
        <v>44</v>
      </c>
      <c r="M514" s="1" t="s">
        <v>1164</v>
      </c>
      <c r="AG514" s="1" t="s">
        <v>124</v>
      </c>
      <c r="AH514" s="2">
        <v>45173</v>
      </c>
      <c r="AI514" s="2">
        <v>45538</v>
      </c>
      <c r="AJ514" s="2">
        <v>45012</v>
      </c>
    </row>
    <row r="515" spans="1:36">
      <c r="A515" s="1" t="str">
        <f>"9740536098"</f>
        <v>9740536098</v>
      </c>
      <c r="B515" s="1" t="str">
        <f t="shared" si="18"/>
        <v>02406911202</v>
      </c>
      <c r="C515" s="1" t="s">
        <v>13</v>
      </c>
      <c r="D515" s="1" t="s">
        <v>983</v>
      </c>
      <c r="E515" s="1" t="s">
        <v>1165</v>
      </c>
      <c r="F515" s="1" t="s">
        <v>117</v>
      </c>
      <c r="G515" s="1" t="str">
        <f>"01468160393"</f>
        <v>01468160393</v>
      </c>
      <c r="I515" s="1" t="s">
        <v>1060</v>
      </c>
      <c r="L515" s="1" t="s">
        <v>44</v>
      </c>
      <c r="M515" s="1" t="s">
        <v>1166</v>
      </c>
      <c r="AG515" s="1" t="s">
        <v>124</v>
      </c>
      <c r="AH515" s="2">
        <v>45173</v>
      </c>
      <c r="AI515" s="2">
        <v>45553</v>
      </c>
      <c r="AJ515" s="2">
        <v>45013</v>
      </c>
    </row>
    <row r="516" spans="1:36">
      <c r="A516" s="1" t="str">
        <f>"974562040A"</f>
        <v>974562040A</v>
      </c>
      <c r="B516" s="1" t="str">
        <f t="shared" si="18"/>
        <v>02406911202</v>
      </c>
      <c r="C516" s="1" t="s">
        <v>13</v>
      </c>
      <c r="D516" s="1" t="s">
        <v>983</v>
      </c>
      <c r="E516" s="1" t="s">
        <v>1167</v>
      </c>
      <c r="F516" s="1" t="s">
        <v>117</v>
      </c>
      <c r="G516" s="1" t="str">
        <f>"01468160393"</f>
        <v>01468160393</v>
      </c>
      <c r="I516" s="1" t="s">
        <v>1060</v>
      </c>
      <c r="J516" s="1" t="s">
        <v>1168</v>
      </c>
      <c r="K516" s="1" t="s">
        <v>53</v>
      </c>
      <c r="AJ516" s="2">
        <v>45014</v>
      </c>
    </row>
    <row r="517" spans="1:36">
      <c r="A517" s="1" t="str">
        <f>"974562040A"</f>
        <v>974562040A</v>
      </c>
      <c r="B517" s="1" t="str">
        <f t="shared" si="18"/>
        <v>02406911202</v>
      </c>
      <c r="C517" s="1" t="s">
        <v>13</v>
      </c>
      <c r="D517" s="1" t="s">
        <v>983</v>
      </c>
      <c r="E517" s="1" t="s">
        <v>1167</v>
      </c>
      <c r="F517" s="1" t="s">
        <v>117</v>
      </c>
      <c r="G517" s="1" t="str">
        <f>"03728590872"</f>
        <v>03728590872</v>
      </c>
      <c r="I517" s="1" t="s">
        <v>1169</v>
      </c>
      <c r="J517" s="1" t="s">
        <v>1168</v>
      </c>
      <c r="K517" s="1" t="s">
        <v>51</v>
      </c>
      <c r="AJ517" s="2">
        <v>45014</v>
      </c>
    </row>
    <row r="518" spans="1:36">
      <c r="A518" s="1" t="str">
        <f>"974562040A"</f>
        <v>974562040A</v>
      </c>
      <c r="B518" s="1" t="str">
        <f t="shared" si="18"/>
        <v>02406911202</v>
      </c>
      <c r="C518" s="1" t="s">
        <v>13</v>
      </c>
      <c r="D518" s="1" t="s">
        <v>983</v>
      </c>
      <c r="E518" s="1" t="s">
        <v>1167</v>
      </c>
      <c r="F518" s="1" t="s">
        <v>117</v>
      </c>
      <c r="I518" s="1" t="s">
        <v>1168</v>
      </c>
      <c r="L518" s="1" t="s">
        <v>44</v>
      </c>
      <c r="M518" s="1" t="s">
        <v>1170</v>
      </c>
      <c r="AG518" s="1" t="s">
        <v>124</v>
      </c>
      <c r="AH518" s="2">
        <v>45173</v>
      </c>
      <c r="AI518" s="2">
        <v>45953</v>
      </c>
      <c r="AJ518" s="2">
        <v>45014</v>
      </c>
    </row>
    <row r="519" spans="1:36">
      <c r="A519" s="1" t="str">
        <f>"9747169251"</f>
        <v>9747169251</v>
      </c>
      <c r="B519" s="1" t="str">
        <f t="shared" si="18"/>
        <v>02406911202</v>
      </c>
      <c r="C519" s="1" t="s">
        <v>13</v>
      </c>
      <c r="D519" s="1" t="s">
        <v>983</v>
      </c>
      <c r="E519" s="1" t="s">
        <v>1171</v>
      </c>
      <c r="F519" s="1" t="s">
        <v>117</v>
      </c>
      <c r="G519" s="1" t="str">
        <f>"04245520376"</f>
        <v>04245520376</v>
      </c>
      <c r="I519" s="1" t="s">
        <v>1172</v>
      </c>
      <c r="L519" s="1" t="s">
        <v>44</v>
      </c>
      <c r="M519" s="1" t="s">
        <v>1173</v>
      </c>
      <c r="AG519" s="1" t="s">
        <v>124</v>
      </c>
      <c r="AH519" s="2">
        <v>45139</v>
      </c>
      <c r="AI519" s="2">
        <v>45291</v>
      </c>
      <c r="AJ519" s="2">
        <v>45015</v>
      </c>
    </row>
    <row r="520" spans="1:36">
      <c r="A520" s="1" t="str">
        <f>"973926146D"</f>
        <v>973926146D</v>
      </c>
      <c r="B520" s="1" t="str">
        <f t="shared" si="18"/>
        <v>02406911202</v>
      </c>
      <c r="C520" s="1" t="s">
        <v>13</v>
      </c>
      <c r="D520" s="1" t="s">
        <v>983</v>
      </c>
      <c r="E520" s="1" t="s">
        <v>1174</v>
      </c>
      <c r="F520" s="1" t="s">
        <v>117</v>
      </c>
      <c r="G520" s="1" t="str">
        <f>"00764990370"</f>
        <v>00764990370</v>
      </c>
      <c r="I520" s="1" t="s">
        <v>1175</v>
      </c>
      <c r="J520" s="1" t="s">
        <v>1176</v>
      </c>
      <c r="K520" s="1" t="s">
        <v>51</v>
      </c>
      <c r="AJ520" s="2">
        <v>45013</v>
      </c>
    </row>
    <row r="521" spans="1:36">
      <c r="A521" s="1" t="str">
        <f>"973926146D"</f>
        <v>973926146D</v>
      </c>
      <c r="B521" s="1" t="str">
        <f t="shared" si="18"/>
        <v>02406911202</v>
      </c>
      <c r="C521" s="1" t="s">
        <v>13</v>
      </c>
      <c r="D521" s="1" t="s">
        <v>983</v>
      </c>
      <c r="E521" s="1" t="s">
        <v>1174</v>
      </c>
      <c r="F521" s="1" t="s">
        <v>117</v>
      </c>
      <c r="G521" s="1" t="str">
        <f>"02096661208"</f>
        <v>02096661208</v>
      </c>
      <c r="I521" s="1" t="s">
        <v>1177</v>
      </c>
      <c r="J521" s="1" t="s">
        <v>1176</v>
      </c>
      <c r="K521" s="1" t="s">
        <v>53</v>
      </c>
      <c r="AJ521" s="2">
        <v>45013</v>
      </c>
    </row>
    <row r="522" spans="1:36">
      <c r="A522" s="1" t="str">
        <f>"973926146D"</f>
        <v>973926146D</v>
      </c>
      <c r="B522" s="1" t="str">
        <f t="shared" si="18"/>
        <v>02406911202</v>
      </c>
      <c r="C522" s="1" t="s">
        <v>13</v>
      </c>
      <c r="D522" s="1" t="s">
        <v>983</v>
      </c>
      <c r="E522" s="1" t="s">
        <v>1174</v>
      </c>
      <c r="F522" s="1" t="s">
        <v>117</v>
      </c>
      <c r="I522" s="1" t="s">
        <v>1176</v>
      </c>
      <c r="L522" s="1" t="s">
        <v>44</v>
      </c>
      <c r="M522" s="1" t="s">
        <v>1178</v>
      </c>
      <c r="AG522" s="1" t="s">
        <v>124</v>
      </c>
      <c r="AH522" s="2">
        <v>45134</v>
      </c>
      <c r="AI522" s="2">
        <v>45434</v>
      </c>
      <c r="AJ522" s="2">
        <v>45013</v>
      </c>
    </row>
    <row r="523" spans="1:36">
      <c r="A523" s="1" t="str">
        <f>"9720557964"</f>
        <v>9720557964</v>
      </c>
      <c r="B523" s="1" t="str">
        <f t="shared" si="18"/>
        <v>02406911202</v>
      </c>
      <c r="C523" s="1" t="s">
        <v>13</v>
      </c>
      <c r="D523" s="1" t="s">
        <v>983</v>
      </c>
      <c r="E523" s="1" t="s">
        <v>1179</v>
      </c>
      <c r="F523" s="1" t="s">
        <v>117</v>
      </c>
      <c r="G523" s="1" t="str">
        <f>"03214610242"</f>
        <v>03214610242</v>
      </c>
      <c r="I523" s="1" t="s">
        <v>1039</v>
      </c>
      <c r="J523" s="1" t="s">
        <v>1040</v>
      </c>
      <c r="K523" s="1" t="s">
        <v>51</v>
      </c>
      <c r="AJ523" s="2">
        <v>45016</v>
      </c>
    </row>
    <row r="524" spans="1:36">
      <c r="A524" s="1" t="str">
        <f>"9720557964"</f>
        <v>9720557964</v>
      </c>
      <c r="B524" s="1" t="str">
        <f t="shared" si="18"/>
        <v>02406911202</v>
      </c>
      <c r="C524" s="1" t="s">
        <v>13</v>
      </c>
      <c r="D524" s="1" t="s">
        <v>983</v>
      </c>
      <c r="E524" s="1" t="s">
        <v>1179</v>
      </c>
      <c r="F524" s="1" t="s">
        <v>117</v>
      </c>
      <c r="G524" s="1" t="str">
        <f>"00203980396"</f>
        <v>00203980396</v>
      </c>
      <c r="I524" s="1" t="s">
        <v>1041</v>
      </c>
      <c r="J524" s="1" t="s">
        <v>1040</v>
      </c>
      <c r="K524" s="1" t="s">
        <v>53</v>
      </c>
      <c r="AJ524" s="2">
        <v>45016</v>
      </c>
    </row>
    <row r="525" spans="1:36">
      <c r="A525" s="1" t="str">
        <f>"9720557964"</f>
        <v>9720557964</v>
      </c>
      <c r="B525" s="1" t="str">
        <f t="shared" si="18"/>
        <v>02406911202</v>
      </c>
      <c r="C525" s="1" t="s">
        <v>13</v>
      </c>
      <c r="D525" s="1" t="s">
        <v>983</v>
      </c>
      <c r="E525" s="1" t="s">
        <v>1179</v>
      </c>
      <c r="F525" s="1" t="s">
        <v>117</v>
      </c>
      <c r="G525" s="1" t="str">
        <f>"02121230391"</f>
        <v>02121230391</v>
      </c>
      <c r="I525" s="1" t="s">
        <v>1042</v>
      </c>
      <c r="J525" s="1" t="s">
        <v>1040</v>
      </c>
      <c r="K525" s="1" t="s">
        <v>53</v>
      </c>
      <c r="AJ525" s="2">
        <v>45016</v>
      </c>
    </row>
    <row r="526" spans="1:36">
      <c r="A526" s="1" t="str">
        <f>"9720557964"</f>
        <v>9720557964</v>
      </c>
      <c r="B526" s="1" t="str">
        <f t="shared" si="18"/>
        <v>02406911202</v>
      </c>
      <c r="C526" s="1" t="s">
        <v>13</v>
      </c>
      <c r="D526" s="1" t="s">
        <v>983</v>
      </c>
      <c r="E526" s="1" t="s">
        <v>1179</v>
      </c>
      <c r="F526" s="1" t="s">
        <v>117</v>
      </c>
      <c r="I526" s="1" t="s">
        <v>1040</v>
      </c>
      <c r="L526" s="1" t="s">
        <v>44</v>
      </c>
      <c r="M526" s="1" t="s">
        <v>1180</v>
      </c>
      <c r="AG526" s="1" t="s">
        <v>124</v>
      </c>
      <c r="AH526" s="2">
        <v>45201</v>
      </c>
      <c r="AI526" s="2">
        <v>45387</v>
      </c>
      <c r="AJ526" s="2">
        <v>45016</v>
      </c>
    </row>
    <row r="527" spans="1:36">
      <c r="A527" s="1" t="str">
        <f>"9739178FEB"</f>
        <v>9739178FEB</v>
      </c>
      <c r="B527" s="1" t="str">
        <f t="shared" si="18"/>
        <v>02406911202</v>
      </c>
      <c r="C527" s="1" t="s">
        <v>13</v>
      </c>
      <c r="D527" s="1" t="s">
        <v>983</v>
      </c>
      <c r="E527" s="1" t="s">
        <v>1181</v>
      </c>
      <c r="F527" s="1" t="s">
        <v>117</v>
      </c>
      <c r="G527" s="1" t="str">
        <f>"00140990409"</f>
        <v>00140990409</v>
      </c>
      <c r="I527" s="1" t="s">
        <v>1128</v>
      </c>
      <c r="L527" s="1" t="s">
        <v>44</v>
      </c>
      <c r="M527" s="1" t="s">
        <v>1182</v>
      </c>
      <c r="AG527" s="1" t="s">
        <v>124</v>
      </c>
      <c r="AH527" s="2">
        <v>45129</v>
      </c>
      <c r="AI527" s="2">
        <v>45331</v>
      </c>
      <c r="AJ527" s="2">
        <v>45013</v>
      </c>
    </row>
    <row r="528" spans="1:36">
      <c r="A528" s="1" t="str">
        <f>"9738993743"</f>
        <v>9738993743</v>
      </c>
      <c r="B528" s="1" t="str">
        <f t="shared" si="18"/>
        <v>02406911202</v>
      </c>
      <c r="C528" s="1" t="s">
        <v>13</v>
      </c>
      <c r="D528" s="1" t="s">
        <v>983</v>
      </c>
      <c r="E528" s="1" t="s">
        <v>1183</v>
      </c>
      <c r="F528" s="1" t="s">
        <v>117</v>
      </c>
      <c r="G528" s="1" t="str">
        <f>"00764990370"</f>
        <v>00764990370</v>
      </c>
      <c r="I528" s="1" t="s">
        <v>1175</v>
      </c>
      <c r="J528" s="1" t="s">
        <v>1176</v>
      </c>
      <c r="K528" s="1" t="s">
        <v>51</v>
      </c>
      <c r="AJ528" s="2">
        <v>45013</v>
      </c>
    </row>
    <row r="529" spans="1:36">
      <c r="A529" s="1" t="str">
        <f>"9738993743"</f>
        <v>9738993743</v>
      </c>
      <c r="B529" s="1" t="str">
        <f t="shared" si="18"/>
        <v>02406911202</v>
      </c>
      <c r="C529" s="1" t="s">
        <v>13</v>
      </c>
      <c r="D529" s="1" t="s">
        <v>983</v>
      </c>
      <c r="E529" s="1" t="s">
        <v>1183</v>
      </c>
      <c r="F529" s="1" t="s">
        <v>117</v>
      </c>
      <c r="G529" s="1" t="str">
        <f>"02096661208"</f>
        <v>02096661208</v>
      </c>
      <c r="I529" s="1" t="s">
        <v>1177</v>
      </c>
      <c r="J529" s="1" t="s">
        <v>1176</v>
      </c>
      <c r="K529" s="1" t="s">
        <v>53</v>
      </c>
      <c r="AJ529" s="2">
        <v>45013</v>
      </c>
    </row>
    <row r="530" spans="1:36">
      <c r="A530" s="1" t="str">
        <f>"9738993743"</f>
        <v>9738993743</v>
      </c>
      <c r="B530" s="1" t="str">
        <f t="shared" si="18"/>
        <v>02406911202</v>
      </c>
      <c r="C530" s="1" t="s">
        <v>13</v>
      </c>
      <c r="D530" s="1" t="s">
        <v>983</v>
      </c>
      <c r="E530" s="1" t="s">
        <v>1183</v>
      </c>
      <c r="F530" s="1" t="s">
        <v>117</v>
      </c>
      <c r="I530" s="1" t="s">
        <v>1176</v>
      </c>
      <c r="L530" s="1" t="s">
        <v>44</v>
      </c>
      <c r="M530" s="1" t="s">
        <v>1184</v>
      </c>
      <c r="AG530" s="1" t="s">
        <v>124</v>
      </c>
      <c r="AH530" s="2">
        <v>45134</v>
      </c>
      <c r="AI530" s="2">
        <v>45374</v>
      </c>
      <c r="AJ530" s="2">
        <v>45013</v>
      </c>
    </row>
    <row r="531" spans="1:36">
      <c r="A531" s="1" t="str">
        <f>"9741534829"</f>
        <v>9741534829</v>
      </c>
      <c r="B531" s="1" t="str">
        <f t="shared" si="18"/>
        <v>02406911202</v>
      </c>
      <c r="C531" s="1" t="s">
        <v>13</v>
      </c>
      <c r="D531" s="1" t="s">
        <v>983</v>
      </c>
      <c r="E531" s="1" t="s">
        <v>1185</v>
      </c>
      <c r="F531" s="1" t="s">
        <v>117</v>
      </c>
      <c r="G531" s="1" t="str">
        <f>"00764990370"</f>
        <v>00764990370</v>
      </c>
      <c r="I531" s="1" t="s">
        <v>1175</v>
      </c>
      <c r="J531" s="1" t="s">
        <v>1176</v>
      </c>
      <c r="K531" s="1" t="s">
        <v>51</v>
      </c>
      <c r="AJ531" s="2">
        <v>45013</v>
      </c>
    </row>
    <row r="532" spans="1:36">
      <c r="A532" s="1" t="str">
        <f>"9741534829"</f>
        <v>9741534829</v>
      </c>
      <c r="B532" s="1" t="str">
        <f t="shared" si="18"/>
        <v>02406911202</v>
      </c>
      <c r="C532" s="1" t="s">
        <v>13</v>
      </c>
      <c r="D532" s="1" t="s">
        <v>983</v>
      </c>
      <c r="E532" s="1" t="s">
        <v>1185</v>
      </c>
      <c r="F532" s="1" t="s">
        <v>117</v>
      </c>
      <c r="G532" s="1" t="str">
        <f>"02096661208"</f>
        <v>02096661208</v>
      </c>
      <c r="I532" s="1" t="s">
        <v>1177</v>
      </c>
      <c r="J532" s="1" t="s">
        <v>1176</v>
      </c>
      <c r="K532" s="1" t="s">
        <v>53</v>
      </c>
      <c r="AJ532" s="2">
        <v>45013</v>
      </c>
    </row>
    <row r="533" spans="1:36">
      <c r="A533" s="1" t="str">
        <f>"9741534829"</f>
        <v>9741534829</v>
      </c>
      <c r="B533" s="1" t="str">
        <f t="shared" si="18"/>
        <v>02406911202</v>
      </c>
      <c r="C533" s="1" t="s">
        <v>13</v>
      </c>
      <c r="D533" s="1" t="s">
        <v>983</v>
      </c>
      <c r="E533" s="1" t="s">
        <v>1185</v>
      </c>
      <c r="F533" s="1" t="s">
        <v>117</v>
      </c>
      <c r="I533" s="1" t="s">
        <v>1176</v>
      </c>
      <c r="L533" s="1" t="s">
        <v>44</v>
      </c>
      <c r="M533" s="1" t="s">
        <v>1186</v>
      </c>
      <c r="AG533" s="1" t="s">
        <v>124</v>
      </c>
      <c r="AH533" s="2">
        <v>45134</v>
      </c>
      <c r="AI533" s="2">
        <v>45284</v>
      </c>
      <c r="AJ533" s="2">
        <v>45013</v>
      </c>
    </row>
    <row r="534" spans="1:36">
      <c r="A534" s="1" t="str">
        <f>"ZE83A58823"</f>
        <v>ZE83A58823</v>
      </c>
      <c r="B534" s="1" t="str">
        <f t="shared" si="18"/>
        <v>02406911202</v>
      </c>
      <c r="C534" s="1" t="s">
        <v>13</v>
      </c>
      <c r="D534" s="1" t="s">
        <v>983</v>
      </c>
      <c r="E534" s="1" t="s">
        <v>1187</v>
      </c>
      <c r="F534" s="1" t="s">
        <v>117</v>
      </c>
      <c r="G534" s="1" t="str">
        <f>"00764990370"</f>
        <v>00764990370</v>
      </c>
      <c r="I534" s="1" t="s">
        <v>1175</v>
      </c>
      <c r="J534" s="1" t="s">
        <v>1176</v>
      </c>
      <c r="K534" s="1" t="s">
        <v>51</v>
      </c>
      <c r="AJ534" s="2">
        <v>45014</v>
      </c>
    </row>
    <row r="535" spans="1:36">
      <c r="A535" s="1" t="str">
        <f>"ZE83A58823"</f>
        <v>ZE83A58823</v>
      </c>
      <c r="B535" s="1" t="str">
        <f t="shared" si="18"/>
        <v>02406911202</v>
      </c>
      <c r="C535" s="1" t="s">
        <v>13</v>
      </c>
      <c r="D535" s="1" t="s">
        <v>983</v>
      </c>
      <c r="E535" s="1" t="s">
        <v>1187</v>
      </c>
      <c r="F535" s="1" t="s">
        <v>117</v>
      </c>
      <c r="G535" s="1" t="str">
        <f>"02096661208"</f>
        <v>02096661208</v>
      </c>
      <c r="I535" s="1" t="s">
        <v>1177</v>
      </c>
      <c r="J535" s="1" t="s">
        <v>1176</v>
      </c>
      <c r="K535" s="1" t="s">
        <v>53</v>
      </c>
      <c r="AJ535" s="2">
        <v>45014</v>
      </c>
    </row>
    <row r="536" spans="1:36">
      <c r="A536" s="1" t="str">
        <f>"ZE83A58823"</f>
        <v>ZE83A58823</v>
      </c>
      <c r="B536" s="1" t="str">
        <f t="shared" si="18"/>
        <v>02406911202</v>
      </c>
      <c r="C536" s="1" t="s">
        <v>13</v>
      </c>
      <c r="D536" s="1" t="s">
        <v>983</v>
      </c>
      <c r="E536" s="1" t="s">
        <v>1187</v>
      </c>
      <c r="F536" s="1" t="s">
        <v>117</v>
      </c>
      <c r="I536" s="1" t="s">
        <v>1176</v>
      </c>
      <c r="L536" s="1" t="s">
        <v>44</v>
      </c>
      <c r="M536" s="1" t="s">
        <v>1188</v>
      </c>
      <c r="AG536" s="1" t="s">
        <v>124</v>
      </c>
      <c r="AH536" s="2">
        <v>45019</v>
      </c>
      <c r="AI536" s="2">
        <v>45045</v>
      </c>
      <c r="AJ536" s="2">
        <v>45014</v>
      </c>
    </row>
    <row r="537" spans="1:36">
      <c r="A537" s="1" t="str">
        <f>"973561647A"</f>
        <v>973561647A</v>
      </c>
      <c r="B537" s="1" t="str">
        <f t="shared" si="18"/>
        <v>02406911202</v>
      </c>
      <c r="C537" s="1" t="s">
        <v>13</v>
      </c>
      <c r="D537" s="1" t="s">
        <v>983</v>
      </c>
      <c r="E537" s="1" t="s">
        <v>1189</v>
      </c>
      <c r="F537" s="1" t="s">
        <v>117</v>
      </c>
      <c r="G537" s="1" t="str">
        <f>"DRLFDR71B19A944B"</f>
        <v>DRLFDR71B19A944B</v>
      </c>
      <c r="I537" s="1" t="s">
        <v>1190</v>
      </c>
      <c r="J537" s="1" t="s">
        <v>1191</v>
      </c>
      <c r="K537" s="1" t="s">
        <v>53</v>
      </c>
      <c r="AJ537" s="2">
        <v>45009</v>
      </c>
    </row>
    <row r="538" spans="1:36">
      <c r="A538" s="1" t="str">
        <f>"973561647A"</f>
        <v>973561647A</v>
      </c>
      <c r="B538" s="1" t="str">
        <f t="shared" si="18"/>
        <v>02406911202</v>
      </c>
      <c r="C538" s="1" t="s">
        <v>13</v>
      </c>
      <c r="D538" s="1" t="s">
        <v>983</v>
      </c>
      <c r="E538" s="1" t="s">
        <v>1189</v>
      </c>
      <c r="F538" s="1" t="s">
        <v>117</v>
      </c>
      <c r="G538" s="1" t="str">
        <f>"02857751206"</f>
        <v>02857751206</v>
      </c>
      <c r="I538" s="1" t="s">
        <v>1192</v>
      </c>
      <c r="J538" s="1" t="s">
        <v>1191</v>
      </c>
      <c r="K538" s="1" t="s">
        <v>53</v>
      </c>
      <c r="AJ538" s="2">
        <v>45009</v>
      </c>
    </row>
    <row r="539" spans="1:36">
      <c r="A539" s="1" t="str">
        <f>"973561647A"</f>
        <v>973561647A</v>
      </c>
      <c r="B539" s="1" t="str">
        <f t="shared" si="18"/>
        <v>02406911202</v>
      </c>
      <c r="C539" s="1" t="s">
        <v>13</v>
      </c>
      <c r="D539" s="1" t="s">
        <v>983</v>
      </c>
      <c r="E539" s="1" t="s">
        <v>1189</v>
      </c>
      <c r="F539" s="1" t="s">
        <v>117</v>
      </c>
      <c r="G539" s="1" t="str">
        <f>"03133300271"</f>
        <v>03133300271</v>
      </c>
      <c r="I539" s="1" t="s">
        <v>1193</v>
      </c>
      <c r="J539" s="1" t="s">
        <v>1191</v>
      </c>
      <c r="K539" s="1" t="s">
        <v>53</v>
      </c>
      <c r="AJ539" s="2">
        <v>45009</v>
      </c>
    </row>
    <row r="540" spans="1:36">
      <c r="A540" s="1" t="str">
        <f>"973561647A"</f>
        <v>973561647A</v>
      </c>
      <c r="B540" s="1" t="str">
        <f t="shared" si="18"/>
        <v>02406911202</v>
      </c>
      <c r="C540" s="1" t="s">
        <v>13</v>
      </c>
      <c r="D540" s="1" t="s">
        <v>983</v>
      </c>
      <c r="E540" s="1" t="s">
        <v>1189</v>
      </c>
      <c r="F540" s="1" t="s">
        <v>117</v>
      </c>
      <c r="I540" s="1" t="s">
        <v>1191</v>
      </c>
      <c r="L540" s="1" t="s">
        <v>44</v>
      </c>
      <c r="M540" s="1" t="s">
        <v>1194</v>
      </c>
      <c r="AG540" s="1" t="s">
        <v>124</v>
      </c>
      <c r="AH540" s="2">
        <v>45009</v>
      </c>
      <c r="AI540" s="2">
        <v>46387</v>
      </c>
      <c r="AJ540" s="2">
        <v>45009</v>
      </c>
    </row>
    <row r="541" spans="1:36">
      <c r="A541" s="1" t="str">
        <f>"97181642A2"</f>
        <v>97181642A2</v>
      </c>
      <c r="B541" s="1" t="str">
        <f t="shared" si="18"/>
        <v>02406911202</v>
      </c>
      <c r="C541" s="1" t="s">
        <v>13</v>
      </c>
      <c r="D541" s="1" t="s">
        <v>983</v>
      </c>
      <c r="E541" s="1" t="s">
        <v>1195</v>
      </c>
      <c r="F541" s="1" t="s">
        <v>117</v>
      </c>
      <c r="G541" s="1" t="str">
        <f>"07465760150"</f>
        <v>07465760150</v>
      </c>
      <c r="I541" s="1" t="s">
        <v>1133</v>
      </c>
      <c r="J541" s="1" t="s">
        <v>1134</v>
      </c>
      <c r="K541" s="1" t="s">
        <v>51</v>
      </c>
      <c r="AJ541" s="2">
        <v>45009</v>
      </c>
    </row>
    <row r="542" spans="1:36">
      <c r="A542" s="1" t="str">
        <f>"97181642A2"</f>
        <v>97181642A2</v>
      </c>
      <c r="B542" s="1" t="str">
        <f t="shared" si="18"/>
        <v>02406911202</v>
      </c>
      <c r="C542" s="1" t="s">
        <v>13</v>
      </c>
      <c r="D542" s="1" t="s">
        <v>983</v>
      </c>
      <c r="E542" s="1" t="s">
        <v>1195</v>
      </c>
      <c r="F542" s="1" t="s">
        <v>117</v>
      </c>
      <c r="G542" s="1" t="str">
        <f>"02242161202"</f>
        <v>02242161202</v>
      </c>
      <c r="I542" s="1" t="s">
        <v>1135</v>
      </c>
      <c r="J542" s="1" t="s">
        <v>1134</v>
      </c>
      <c r="K542" s="1" t="s">
        <v>53</v>
      </c>
      <c r="AJ542" s="2">
        <v>45009</v>
      </c>
    </row>
    <row r="543" spans="1:36">
      <c r="A543" s="1" t="str">
        <f>"97181642A2"</f>
        <v>97181642A2</v>
      </c>
      <c r="B543" s="1" t="str">
        <f t="shared" si="18"/>
        <v>02406911202</v>
      </c>
      <c r="C543" s="1" t="s">
        <v>13</v>
      </c>
      <c r="D543" s="1" t="s">
        <v>983</v>
      </c>
      <c r="E543" s="1" t="s">
        <v>1195</v>
      </c>
      <c r="F543" s="1" t="s">
        <v>117</v>
      </c>
      <c r="G543" s="1" t="str">
        <f>"02328350018"</f>
        <v>02328350018</v>
      </c>
      <c r="I543" s="1" t="s">
        <v>1136</v>
      </c>
      <c r="J543" s="1" t="s">
        <v>1134</v>
      </c>
      <c r="K543" s="1" t="s">
        <v>53</v>
      </c>
      <c r="AJ543" s="2">
        <v>45009</v>
      </c>
    </row>
    <row r="544" spans="1:36">
      <c r="A544" s="1" t="str">
        <f>"97181642A2"</f>
        <v>97181642A2</v>
      </c>
      <c r="B544" s="1" t="str">
        <f t="shared" si="18"/>
        <v>02406911202</v>
      </c>
      <c r="C544" s="1" t="s">
        <v>13</v>
      </c>
      <c r="D544" s="1" t="s">
        <v>983</v>
      </c>
      <c r="E544" s="1" t="s">
        <v>1195</v>
      </c>
      <c r="F544" s="1" t="s">
        <v>117</v>
      </c>
      <c r="I544" s="1" t="s">
        <v>1134</v>
      </c>
      <c r="L544" s="1" t="s">
        <v>44</v>
      </c>
      <c r="M544" s="1" t="s">
        <v>1196</v>
      </c>
      <c r="AG544" s="1" t="s">
        <v>124</v>
      </c>
      <c r="AH544" s="2">
        <v>45009</v>
      </c>
      <c r="AI544" s="2">
        <v>46387</v>
      </c>
      <c r="AJ544" s="2">
        <v>45009</v>
      </c>
    </row>
    <row r="545" spans="1:36">
      <c r="A545" s="1" t="str">
        <f>"9729805915"</f>
        <v>9729805915</v>
      </c>
      <c r="B545" s="1" t="str">
        <f t="shared" si="18"/>
        <v>02406911202</v>
      </c>
      <c r="C545" s="1" t="s">
        <v>13</v>
      </c>
      <c r="D545" s="1" t="s">
        <v>983</v>
      </c>
      <c r="E545" s="1" t="s">
        <v>1197</v>
      </c>
      <c r="F545" s="1" t="s">
        <v>117</v>
      </c>
      <c r="G545" s="1" t="str">
        <f>"RZZMRC62T13C121R"</f>
        <v>RZZMRC62T13C121R</v>
      </c>
      <c r="I545" s="1" t="s">
        <v>1097</v>
      </c>
      <c r="J545" s="1" t="s">
        <v>1098</v>
      </c>
      <c r="K545" s="1" t="s">
        <v>1099</v>
      </c>
      <c r="AJ545" s="2">
        <v>45038</v>
      </c>
    </row>
    <row r="546" spans="1:36">
      <c r="A546" s="1" t="str">
        <f>"9729805915"</f>
        <v>9729805915</v>
      </c>
      <c r="B546" s="1" t="str">
        <f t="shared" si="18"/>
        <v>02406911202</v>
      </c>
      <c r="C546" s="1" t="s">
        <v>13</v>
      </c>
      <c r="D546" s="1" t="s">
        <v>983</v>
      </c>
      <c r="E546" s="1" t="s">
        <v>1197</v>
      </c>
      <c r="F546" s="1" t="s">
        <v>117</v>
      </c>
      <c r="G546" s="1" t="str">
        <f>"03624131201"</f>
        <v>03624131201</v>
      </c>
      <c r="I546" s="1" t="s">
        <v>1100</v>
      </c>
      <c r="J546" s="1" t="s">
        <v>1098</v>
      </c>
      <c r="K546" s="1" t="s">
        <v>1101</v>
      </c>
      <c r="AJ546" s="2">
        <v>45038</v>
      </c>
    </row>
    <row r="547" spans="1:36">
      <c r="A547" s="1" t="str">
        <f>"9729805915"</f>
        <v>9729805915</v>
      </c>
      <c r="B547" s="1" t="str">
        <f t="shared" si="18"/>
        <v>02406911202</v>
      </c>
      <c r="C547" s="1" t="s">
        <v>13</v>
      </c>
      <c r="D547" s="1" t="s">
        <v>983</v>
      </c>
      <c r="E547" s="1" t="s">
        <v>1197</v>
      </c>
      <c r="F547" s="1" t="s">
        <v>117</v>
      </c>
      <c r="G547" s="1" t="str">
        <f>"CVRPRI62E07A944M"</f>
        <v>CVRPRI62E07A944M</v>
      </c>
      <c r="I547" s="1" t="s">
        <v>1102</v>
      </c>
      <c r="J547" s="1" t="s">
        <v>1098</v>
      </c>
      <c r="K547" s="1" t="s">
        <v>1101</v>
      </c>
      <c r="AJ547" s="2">
        <v>45038</v>
      </c>
    </row>
    <row r="548" spans="1:36">
      <c r="A548" s="1" t="str">
        <f>"9729805915"</f>
        <v>9729805915</v>
      </c>
      <c r="B548" s="1" t="str">
        <f t="shared" si="18"/>
        <v>02406911202</v>
      </c>
      <c r="C548" s="1" t="s">
        <v>13</v>
      </c>
      <c r="D548" s="1" t="s">
        <v>983</v>
      </c>
      <c r="E548" s="1" t="s">
        <v>1197</v>
      </c>
      <c r="F548" s="1" t="s">
        <v>117</v>
      </c>
      <c r="G548" s="1" t="str">
        <f>"02916640275"</f>
        <v>02916640275</v>
      </c>
      <c r="I548" s="1" t="s">
        <v>1103</v>
      </c>
      <c r="J548" s="1" t="s">
        <v>1098</v>
      </c>
      <c r="K548" s="1" t="s">
        <v>1101</v>
      </c>
      <c r="AJ548" s="2">
        <v>45038</v>
      </c>
    </row>
    <row r="549" spans="1:36">
      <c r="A549" s="1" t="str">
        <f>"9729805915"</f>
        <v>9729805915</v>
      </c>
      <c r="B549" s="1" t="str">
        <f t="shared" si="18"/>
        <v>02406911202</v>
      </c>
      <c r="C549" s="1" t="s">
        <v>13</v>
      </c>
      <c r="D549" s="1" t="s">
        <v>983</v>
      </c>
      <c r="E549" s="1" t="s">
        <v>1197</v>
      </c>
      <c r="F549" s="1" t="s">
        <v>117</v>
      </c>
      <c r="I549" s="1" t="s">
        <v>1098</v>
      </c>
      <c r="L549" s="1" t="s">
        <v>44</v>
      </c>
      <c r="M549" s="1" t="s">
        <v>1198</v>
      </c>
      <c r="AG549" s="1" t="s">
        <v>124</v>
      </c>
      <c r="AH549" s="2">
        <v>45010</v>
      </c>
      <c r="AI549" s="2">
        <v>46387</v>
      </c>
      <c r="AJ549" s="2">
        <v>45038</v>
      </c>
    </row>
    <row r="550" spans="1:36">
      <c r="A550" s="1" t="str">
        <f>"Z053AAEA48"</f>
        <v>Z053AAEA48</v>
      </c>
      <c r="B550" s="1" t="str">
        <f t="shared" si="18"/>
        <v>02406911202</v>
      </c>
      <c r="C550" s="1" t="s">
        <v>13</v>
      </c>
      <c r="D550" s="1" t="s">
        <v>983</v>
      </c>
      <c r="E550" s="1" t="s">
        <v>1199</v>
      </c>
      <c r="F550" s="1" t="s">
        <v>49</v>
      </c>
      <c r="G550" s="1" t="str">
        <f>"00488410010"</f>
        <v>00488410010</v>
      </c>
      <c r="I550" s="1" t="s">
        <v>1200</v>
      </c>
      <c r="L550" s="1" t="s">
        <v>44</v>
      </c>
      <c r="M550" s="1" t="s">
        <v>1201</v>
      </c>
      <c r="AG550" s="1" t="s">
        <v>124</v>
      </c>
      <c r="AH550" s="2">
        <v>45029</v>
      </c>
      <c r="AI550" s="2">
        <v>45035</v>
      </c>
      <c r="AJ550" s="2">
        <v>45029</v>
      </c>
    </row>
    <row r="551" spans="1:36">
      <c r="A551" s="1" t="str">
        <f>"Z7C3AB7D12"</f>
        <v>Z7C3AB7D12</v>
      </c>
      <c r="B551" s="1" t="str">
        <f t="shared" si="18"/>
        <v>02406911202</v>
      </c>
      <c r="C551" s="1" t="s">
        <v>13</v>
      </c>
      <c r="D551" s="1" t="s">
        <v>983</v>
      </c>
      <c r="E551" s="1" t="s">
        <v>1202</v>
      </c>
      <c r="F551" s="1" t="s">
        <v>49</v>
      </c>
      <c r="G551" s="1" t="str">
        <f>"MNTNRC64D11E289D"</f>
        <v>MNTNRC64D11E289D</v>
      </c>
      <c r="I551" s="1" t="s">
        <v>1203</v>
      </c>
      <c r="L551" s="1" t="s">
        <v>44</v>
      </c>
      <c r="M551" s="1" t="s">
        <v>1204</v>
      </c>
      <c r="AG551" s="1" t="s">
        <v>124</v>
      </c>
      <c r="AH551" s="2">
        <v>45043</v>
      </c>
      <c r="AI551" s="2">
        <v>45073</v>
      </c>
      <c r="AJ551" s="2">
        <v>45043</v>
      </c>
    </row>
    <row r="552" spans="1:36">
      <c r="A552" s="1" t="str">
        <f>"ZBE3AB850E"</f>
        <v>ZBE3AB850E</v>
      </c>
      <c r="B552" s="1" t="str">
        <f t="shared" si="18"/>
        <v>02406911202</v>
      </c>
      <c r="C552" s="1" t="s">
        <v>13</v>
      </c>
      <c r="D552" s="1" t="s">
        <v>983</v>
      </c>
      <c r="E552" s="1" t="s">
        <v>1205</v>
      </c>
      <c r="F552" s="1" t="s">
        <v>49</v>
      </c>
      <c r="G552" s="1" t="str">
        <f>"03656380122"</f>
        <v>03656380122</v>
      </c>
      <c r="I552" s="1" t="s">
        <v>1206</v>
      </c>
      <c r="L552" s="1" t="s">
        <v>44</v>
      </c>
      <c r="M552" s="1" t="s">
        <v>1207</v>
      </c>
      <c r="AG552" s="1" t="s">
        <v>1207</v>
      </c>
      <c r="AH552" s="2">
        <v>45023</v>
      </c>
      <c r="AI552" s="2">
        <v>45054</v>
      </c>
      <c r="AJ552" s="2">
        <v>45023</v>
      </c>
    </row>
    <row r="553" spans="1:36">
      <c r="A553" s="1" t="str">
        <f>"ZEC3AB85B0"</f>
        <v>ZEC3AB85B0</v>
      </c>
      <c r="B553" s="1" t="str">
        <f t="shared" si="18"/>
        <v>02406911202</v>
      </c>
      <c r="C553" s="1" t="s">
        <v>13</v>
      </c>
      <c r="D553" s="1" t="s">
        <v>983</v>
      </c>
      <c r="E553" s="1" t="s">
        <v>1208</v>
      </c>
      <c r="F553" s="1" t="s">
        <v>49</v>
      </c>
      <c r="G553" s="1" t="str">
        <f>"03656380122"</f>
        <v>03656380122</v>
      </c>
      <c r="I553" s="1" t="s">
        <v>1206</v>
      </c>
      <c r="L553" s="1" t="s">
        <v>44</v>
      </c>
      <c r="M553" s="1" t="s">
        <v>1209</v>
      </c>
      <c r="AG553" s="1" t="s">
        <v>1209</v>
      </c>
      <c r="AH553" s="2">
        <v>45023</v>
      </c>
      <c r="AI553" s="2">
        <v>45389</v>
      </c>
      <c r="AJ553" s="2">
        <v>45023</v>
      </c>
    </row>
    <row r="554" spans="1:36">
      <c r="A554" s="1" t="str">
        <f>"Z7B3AB8D78"</f>
        <v>Z7B3AB8D78</v>
      </c>
      <c r="B554" s="1" t="str">
        <f t="shared" si="18"/>
        <v>02406911202</v>
      </c>
      <c r="C554" s="1" t="s">
        <v>13</v>
      </c>
      <c r="D554" s="1" t="s">
        <v>983</v>
      </c>
      <c r="E554" s="1" t="s">
        <v>1210</v>
      </c>
      <c r="F554" s="1" t="s">
        <v>99</v>
      </c>
      <c r="G554" s="1" t="str">
        <f>"PLMGBR63H06A944J"</f>
        <v>PLMGBR63H06A944J</v>
      </c>
      <c r="I554" s="1" t="s">
        <v>1106</v>
      </c>
      <c r="L554" s="1" t="s">
        <v>44</v>
      </c>
      <c r="M554" s="1" t="s">
        <v>1211</v>
      </c>
      <c r="AG554" s="1" t="s">
        <v>1212</v>
      </c>
      <c r="AH554" s="2">
        <v>45023</v>
      </c>
      <c r="AI554" s="2">
        <v>45291</v>
      </c>
      <c r="AJ554" s="2">
        <v>45008</v>
      </c>
    </row>
    <row r="555" spans="1:36">
      <c r="A555" s="1" t="str">
        <f>"9774168A96"</f>
        <v>9774168A96</v>
      </c>
      <c r="B555" s="1" t="str">
        <f t="shared" si="18"/>
        <v>02406911202</v>
      </c>
      <c r="C555" s="1" t="s">
        <v>13</v>
      </c>
      <c r="D555" s="1" t="s">
        <v>983</v>
      </c>
      <c r="E555" s="1" t="s">
        <v>1213</v>
      </c>
      <c r="F555" s="1" t="s">
        <v>117</v>
      </c>
      <c r="G555" s="1" t="str">
        <f>"01373390382"</f>
        <v>01373390382</v>
      </c>
      <c r="I555" s="1" t="s">
        <v>6753</v>
      </c>
      <c r="L555" s="1" t="s">
        <v>44</v>
      </c>
      <c r="M555" s="1" t="s">
        <v>747</v>
      </c>
      <c r="AG555" s="1" t="s">
        <v>124</v>
      </c>
      <c r="AH555" s="2">
        <v>44986</v>
      </c>
      <c r="AI555" s="2">
        <v>45350</v>
      </c>
      <c r="AJ555" s="2">
        <v>45030</v>
      </c>
    </row>
    <row r="556" spans="1:36">
      <c r="A556" s="1" t="str">
        <f>"ZE63AD5F99"</f>
        <v>ZE63AD5F99</v>
      </c>
      <c r="B556" s="1" t="str">
        <f t="shared" si="18"/>
        <v>02406911202</v>
      </c>
      <c r="C556" s="1" t="s">
        <v>13</v>
      </c>
      <c r="D556" s="1" t="s">
        <v>983</v>
      </c>
      <c r="E556" s="1" t="s">
        <v>1214</v>
      </c>
      <c r="F556" s="1" t="s">
        <v>431</v>
      </c>
      <c r="G556" s="1" t="str">
        <f>"04429100151"</f>
        <v>04429100151</v>
      </c>
      <c r="I556" s="1" t="s">
        <v>1215</v>
      </c>
      <c r="L556" s="1" t="s">
        <v>44</v>
      </c>
      <c r="M556" s="1" t="s">
        <v>1216</v>
      </c>
      <c r="AG556" s="1" t="s">
        <v>124</v>
      </c>
      <c r="AH556" s="2">
        <v>45082</v>
      </c>
      <c r="AI556" s="2">
        <v>45180</v>
      </c>
      <c r="AJ556" s="2">
        <v>45051</v>
      </c>
    </row>
    <row r="557" spans="1:36">
      <c r="A557" s="1" t="str">
        <f>"9809146B58"</f>
        <v>9809146B58</v>
      </c>
      <c r="B557" s="1" t="str">
        <f t="shared" si="18"/>
        <v>02406911202</v>
      </c>
      <c r="C557" s="1" t="s">
        <v>13</v>
      </c>
      <c r="D557" s="1" t="s">
        <v>983</v>
      </c>
      <c r="E557" s="1" t="s">
        <v>1217</v>
      </c>
      <c r="F557" s="1" t="s">
        <v>99</v>
      </c>
      <c r="G557" s="1" t="str">
        <f>"03037611203"</f>
        <v>03037611203</v>
      </c>
      <c r="I557" s="1" t="s">
        <v>1218</v>
      </c>
      <c r="L557" s="1" t="s">
        <v>44</v>
      </c>
      <c r="M557" s="1" t="s">
        <v>1219</v>
      </c>
      <c r="AG557" s="1" t="s">
        <v>1220</v>
      </c>
      <c r="AH557" s="2">
        <v>45100</v>
      </c>
      <c r="AI557" s="2">
        <v>45291</v>
      </c>
      <c r="AJ557" s="2">
        <v>45100</v>
      </c>
    </row>
    <row r="558" spans="1:36">
      <c r="A558" s="1" t="str">
        <f>"9818775574"</f>
        <v>9818775574</v>
      </c>
      <c r="B558" s="1" t="str">
        <f t="shared" si="18"/>
        <v>02406911202</v>
      </c>
      <c r="C558" s="1" t="s">
        <v>13</v>
      </c>
      <c r="D558" s="1" t="s">
        <v>983</v>
      </c>
      <c r="E558" s="1" t="s">
        <v>1221</v>
      </c>
      <c r="F558" s="1" t="s">
        <v>99</v>
      </c>
      <c r="G558" s="1" t="str">
        <f>"00287060370"</f>
        <v>00287060370</v>
      </c>
      <c r="I558" s="1" t="s">
        <v>1222</v>
      </c>
      <c r="L558" s="1" t="s">
        <v>44</v>
      </c>
      <c r="M558" s="1" t="s">
        <v>1223</v>
      </c>
      <c r="AG558" s="1" t="s">
        <v>124</v>
      </c>
      <c r="AH558" s="2">
        <v>45078</v>
      </c>
      <c r="AI558" s="2">
        <v>45117</v>
      </c>
      <c r="AJ558" s="2">
        <v>45057</v>
      </c>
    </row>
    <row r="559" spans="1:36">
      <c r="A559" s="1" t="str">
        <f>"9818775574"</f>
        <v>9818775574</v>
      </c>
      <c r="B559" s="1" t="str">
        <f t="shared" si="18"/>
        <v>02406911202</v>
      </c>
      <c r="C559" s="1" t="s">
        <v>13</v>
      </c>
      <c r="D559" s="1" t="s">
        <v>983</v>
      </c>
      <c r="E559" s="1" t="s">
        <v>1221</v>
      </c>
      <c r="F559" s="1" t="s">
        <v>99</v>
      </c>
      <c r="G559" s="1" t="str">
        <f>"00279260368"</f>
        <v>00279260368</v>
      </c>
      <c r="I559" s="1" t="s">
        <v>6756</v>
      </c>
      <c r="L559" s="1" t="s">
        <v>41</v>
      </c>
      <c r="AH559" s="2"/>
      <c r="AI559" s="2"/>
      <c r="AJ559" s="2">
        <v>45057</v>
      </c>
    </row>
    <row r="560" spans="1:36">
      <c r="A560" s="1" t="str">
        <f>"9818775574"</f>
        <v>9818775574</v>
      </c>
      <c r="B560" s="1" t="str">
        <f t="shared" si="18"/>
        <v>02406911202</v>
      </c>
      <c r="C560" s="1" t="s">
        <v>13</v>
      </c>
      <c r="D560" s="1" t="s">
        <v>983</v>
      </c>
      <c r="E560" s="1" t="s">
        <v>1221</v>
      </c>
      <c r="F560" s="1" t="s">
        <v>99</v>
      </c>
      <c r="G560" s="1" t="str">
        <f>"02096661208"</f>
        <v>02096661208</v>
      </c>
      <c r="I560" s="1" t="s">
        <v>1177</v>
      </c>
      <c r="L560" s="1" t="s">
        <v>41</v>
      </c>
      <c r="AH560" s="2"/>
      <c r="AI560" s="2"/>
      <c r="AJ560" s="2">
        <v>45057</v>
      </c>
    </row>
    <row r="561" spans="1:36">
      <c r="A561" s="1" t="str">
        <f>"9818775574"</f>
        <v>9818775574</v>
      </c>
      <c r="B561" s="1" t="str">
        <f t="shared" si="18"/>
        <v>02406911202</v>
      </c>
      <c r="C561" s="1" t="s">
        <v>13</v>
      </c>
      <c r="D561" s="1" t="s">
        <v>983</v>
      </c>
      <c r="E561" s="1" t="s">
        <v>1221</v>
      </c>
      <c r="F561" s="1" t="s">
        <v>99</v>
      </c>
      <c r="G561" s="1" t="str">
        <f>"03031811205"</f>
        <v>03031811205</v>
      </c>
      <c r="I561" s="1" t="s">
        <v>6757</v>
      </c>
      <c r="L561" s="1" t="s">
        <v>41</v>
      </c>
      <c r="AH561" s="2"/>
      <c r="AI561" s="2"/>
      <c r="AJ561" s="2">
        <v>45057</v>
      </c>
    </row>
    <row r="562" spans="1:36">
      <c r="A562" s="1" t="str">
        <f>"9818775574"</f>
        <v>9818775574</v>
      </c>
      <c r="B562" s="1" t="str">
        <f t="shared" si="18"/>
        <v>02406911202</v>
      </c>
      <c r="C562" s="1" t="s">
        <v>13</v>
      </c>
      <c r="D562" s="1" t="s">
        <v>983</v>
      </c>
      <c r="E562" s="1" t="s">
        <v>1221</v>
      </c>
      <c r="F562" s="1" t="s">
        <v>99</v>
      </c>
      <c r="G562" s="1" t="str">
        <f>"03253561207"</f>
        <v>03253561207</v>
      </c>
      <c r="I562" s="1" t="s">
        <v>6758</v>
      </c>
      <c r="L562" s="1" t="s">
        <v>41</v>
      </c>
      <c r="AH562" s="2"/>
      <c r="AI562" s="2"/>
      <c r="AJ562" s="2">
        <v>45057</v>
      </c>
    </row>
    <row r="563" spans="1:36">
      <c r="A563" s="1" t="str">
        <f>"Z143B36A10"</f>
        <v>Z143B36A10</v>
      </c>
      <c r="B563" s="1" t="str">
        <f t="shared" si="18"/>
        <v>02406911202</v>
      </c>
      <c r="C563" s="1" t="s">
        <v>13</v>
      </c>
      <c r="D563" s="1" t="s">
        <v>983</v>
      </c>
      <c r="E563" s="1" t="s">
        <v>1224</v>
      </c>
      <c r="F563" s="1" t="s">
        <v>99</v>
      </c>
      <c r="G563" s="1" t="str">
        <f>"04591550159"</f>
        <v>04591550159</v>
      </c>
      <c r="I563" s="1" t="s">
        <v>1225</v>
      </c>
      <c r="L563" s="1" t="s">
        <v>44</v>
      </c>
      <c r="M563" s="1" t="s">
        <v>1226</v>
      </c>
      <c r="AG563" s="1" t="s">
        <v>124</v>
      </c>
      <c r="AH563" s="2">
        <v>45083</v>
      </c>
      <c r="AI563" s="2">
        <v>45090</v>
      </c>
      <c r="AJ563" s="2">
        <v>45083</v>
      </c>
    </row>
    <row r="564" spans="1:36">
      <c r="A564" s="1" t="str">
        <f>"9827337F07"</f>
        <v>9827337F07</v>
      </c>
      <c r="B564" s="1" t="str">
        <f t="shared" si="18"/>
        <v>02406911202</v>
      </c>
      <c r="C564" s="1" t="s">
        <v>13</v>
      </c>
      <c r="D564" s="1" t="s">
        <v>983</v>
      </c>
      <c r="E564" s="1" t="s">
        <v>1227</v>
      </c>
      <c r="F564" s="1" t="s">
        <v>49</v>
      </c>
      <c r="G564" s="1" t="str">
        <f>"03479071205"</f>
        <v>03479071205</v>
      </c>
      <c r="I564" s="1" t="s">
        <v>1228</v>
      </c>
      <c r="L564" s="1" t="s">
        <v>44</v>
      </c>
      <c r="M564" s="1" t="s">
        <v>1229</v>
      </c>
      <c r="AG564" s="1" t="s">
        <v>124</v>
      </c>
      <c r="AH564" s="2">
        <v>45062</v>
      </c>
      <c r="AI564" s="2">
        <v>45169</v>
      </c>
      <c r="AJ564" s="2">
        <v>45062</v>
      </c>
    </row>
    <row r="565" spans="1:36">
      <c r="A565" s="1" t="str">
        <f>"Z853B33C0B"</f>
        <v>Z853B33C0B</v>
      </c>
      <c r="B565" s="1" t="str">
        <f t="shared" si="18"/>
        <v>02406911202</v>
      </c>
      <c r="C565" s="1" t="s">
        <v>13</v>
      </c>
      <c r="D565" s="1" t="s">
        <v>983</v>
      </c>
      <c r="E565" s="1" t="s">
        <v>1230</v>
      </c>
      <c r="F565" s="1" t="s">
        <v>49</v>
      </c>
      <c r="G565" s="1" t="str">
        <f>"00691531206"</f>
        <v>00691531206</v>
      </c>
      <c r="I565" s="1" t="s">
        <v>1231</v>
      </c>
      <c r="L565" s="1" t="s">
        <v>44</v>
      </c>
      <c r="M565" s="1" t="s">
        <v>1232</v>
      </c>
      <c r="AG565" s="1" t="s">
        <v>124</v>
      </c>
      <c r="AH565" s="2">
        <v>45076</v>
      </c>
      <c r="AI565" s="2">
        <v>45199</v>
      </c>
      <c r="AJ565" s="2">
        <v>45076</v>
      </c>
    </row>
    <row r="566" spans="1:36">
      <c r="A566" s="1" t="str">
        <f>"9807557C0F"</f>
        <v>9807557C0F</v>
      </c>
      <c r="B566" s="1" t="str">
        <f t="shared" si="18"/>
        <v>02406911202</v>
      </c>
      <c r="C566" s="1" t="s">
        <v>13</v>
      </c>
      <c r="D566" s="1" t="s">
        <v>983</v>
      </c>
      <c r="E566" s="1" t="s">
        <v>1233</v>
      </c>
      <c r="F566" s="1" t="s">
        <v>117</v>
      </c>
      <c r="G566" s="1" t="str">
        <f>"00764990370"</f>
        <v>00764990370</v>
      </c>
      <c r="I566" s="1" t="s">
        <v>1175</v>
      </c>
      <c r="J566" s="1" t="s">
        <v>1176</v>
      </c>
      <c r="K566" s="1" t="s">
        <v>51</v>
      </c>
      <c r="AJ566" s="2">
        <v>45089</v>
      </c>
    </row>
    <row r="567" spans="1:36">
      <c r="A567" s="1" t="str">
        <f>"9807557C0F"</f>
        <v>9807557C0F</v>
      </c>
      <c r="B567" s="1" t="str">
        <f t="shared" si="18"/>
        <v>02406911202</v>
      </c>
      <c r="C567" s="1" t="s">
        <v>13</v>
      </c>
      <c r="D567" s="1" t="s">
        <v>983</v>
      </c>
      <c r="E567" s="1" t="s">
        <v>1233</v>
      </c>
      <c r="F567" s="1" t="s">
        <v>117</v>
      </c>
      <c r="G567" s="1" t="str">
        <f>"02096661208"</f>
        <v>02096661208</v>
      </c>
      <c r="I567" s="1" t="s">
        <v>1177</v>
      </c>
      <c r="J567" s="1" t="s">
        <v>1176</v>
      </c>
      <c r="K567" s="1" t="s">
        <v>53</v>
      </c>
      <c r="AJ567" s="2">
        <v>45089</v>
      </c>
    </row>
    <row r="568" spans="1:36">
      <c r="A568" s="1" t="str">
        <f>"9807557C0F"</f>
        <v>9807557C0F</v>
      </c>
      <c r="B568" s="1" t="str">
        <f t="shared" si="18"/>
        <v>02406911202</v>
      </c>
      <c r="C568" s="1" t="s">
        <v>13</v>
      </c>
      <c r="D568" s="1" t="s">
        <v>983</v>
      </c>
      <c r="E568" s="1" t="s">
        <v>1233</v>
      </c>
      <c r="F568" s="1" t="s">
        <v>117</v>
      </c>
      <c r="I568" s="1" t="s">
        <v>1176</v>
      </c>
      <c r="L568" s="1" t="s">
        <v>44</v>
      </c>
      <c r="M568" s="1" t="s">
        <v>1234</v>
      </c>
      <c r="AG568" s="1" t="s">
        <v>124</v>
      </c>
      <c r="AH568" s="2">
        <v>45131</v>
      </c>
      <c r="AI568" s="2">
        <v>45184</v>
      </c>
      <c r="AJ568" s="2">
        <v>45089</v>
      </c>
    </row>
    <row r="569" spans="1:36">
      <c r="A569" s="1" t="str">
        <f>"Z7B3B82736"</f>
        <v>Z7B3B82736</v>
      </c>
      <c r="B569" s="1" t="str">
        <f t="shared" si="18"/>
        <v>02406911202</v>
      </c>
      <c r="C569" s="1" t="s">
        <v>13</v>
      </c>
      <c r="D569" s="1" t="s">
        <v>983</v>
      </c>
      <c r="E569" s="1" t="s">
        <v>1235</v>
      </c>
      <c r="F569" s="1" t="s">
        <v>49</v>
      </c>
      <c r="G569" s="1" t="str">
        <f>"01570210243"</f>
        <v>01570210243</v>
      </c>
      <c r="I569" s="1" t="s">
        <v>1057</v>
      </c>
      <c r="L569" s="1" t="s">
        <v>44</v>
      </c>
      <c r="M569" s="1" t="s">
        <v>1236</v>
      </c>
      <c r="AG569" s="1" t="s">
        <v>124</v>
      </c>
      <c r="AH569" s="2">
        <v>45089</v>
      </c>
      <c r="AI569" s="2">
        <v>45120</v>
      </c>
      <c r="AJ569" s="2">
        <v>45090</v>
      </c>
    </row>
    <row r="570" spans="1:36">
      <c r="A570" s="1" t="str">
        <f>"Z973B827E5"</f>
        <v>Z973B827E5</v>
      </c>
      <c r="B570" s="1" t="str">
        <f t="shared" si="18"/>
        <v>02406911202</v>
      </c>
      <c r="C570" s="1" t="s">
        <v>13</v>
      </c>
      <c r="D570" s="1" t="s">
        <v>983</v>
      </c>
      <c r="E570" s="1" t="s">
        <v>1237</v>
      </c>
      <c r="F570" s="1" t="s">
        <v>49</v>
      </c>
      <c r="G570" s="1" t="str">
        <f>"01570210243"</f>
        <v>01570210243</v>
      </c>
      <c r="I570" s="1" t="s">
        <v>1057</v>
      </c>
      <c r="L570" s="1" t="s">
        <v>44</v>
      </c>
      <c r="M570" s="1" t="s">
        <v>1238</v>
      </c>
      <c r="AG570" s="1" t="s">
        <v>124</v>
      </c>
      <c r="AH570" s="2">
        <v>45090</v>
      </c>
      <c r="AI570" s="2">
        <v>45120</v>
      </c>
      <c r="AJ570" s="2">
        <v>45090</v>
      </c>
    </row>
    <row r="571" spans="1:36">
      <c r="A571" s="1" t="str">
        <f>"9736206B5A"</f>
        <v>9736206B5A</v>
      </c>
      <c r="B571" s="1" t="str">
        <f t="shared" si="18"/>
        <v>02406911202</v>
      </c>
      <c r="C571" s="1" t="s">
        <v>13</v>
      </c>
      <c r="D571" s="1" t="s">
        <v>983</v>
      </c>
      <c r="E571" s="1" t="s">
        <v>1239</v>
      </c>
      <c r="F571" s="1" t="s">
        <v>117</v>
      </c>
      <c r="G571" s="1" t="str">
        <f>"DRLFDR71B19A944B"</f>
        <v>DRLFDR71B19A944B</v>
      </c>
      <c r="I571" s="1" t="s">
        <v>1190</v>
      </c>
      <c r="J571" s="1" t="s">
        <v>1191</v>
      </c>
      <c r="K571" s="1" t="s">
        <v>53</v>
      </c>
      <c r="AJ571" s="2">
        <v>45010</v>
      </c>
    </row>
    <row r="572" spans="1:36">
      <c r="A572" s="1" t="str">
        <f>"9736206B5A"</f>
        <v>9736206B5A</v>
      </c>
      <c r="B572" s="1" t="str">
        <f t="shared" si="18"/>
        <v>02406911202</v>
      </c>
      <c r="C572" s="1" t="s">
        <v>13</v>
      </c>
      <c r="D572" s="1" t="s">
        <v>983</v>
      </c>
      <c r="E572" s="1" t="s">
        <v>1239</v>
      </c>
      <c r="F572" s="1" t="s">
        <v>117</v>
      </c>
      <c r="G572" s="1" t="str">
        <f>"02857751206"</f>
        <v>02857751206</v>
      </c>
      <c r="I572" s="1" t="s">
        <v>1192</v>
      </c>
      <c r="J572" s="1" t="s">
        <v>1191</v>
      </c>
      <c r="K572" s="1" t="s">
        <v>53</v>
      </c>
      <c r="AJ572" s="2">
        <v>45010</v>
      </c>
    </row>
    <row r="573" spans="1:36">
      <c r="A573" s="1" t="str">
        <f>"9736206B5A"</f>
        <v>9736206B5A</v>
      </c>
      <c r="B573" s="1" t="str">
        <f t="shared" si="18"/>
        <v>02406911202</v>
      </c>
      <c r="C573" s="1" t="s">
        <v>13</v>
      </c>
      <c r="D573" s="1" t="s">
        <v>983</v>
      </c>
      <c r="E573" s="1" t="s">
        <v>1239</v>
      </c>
      <c r="F573" s="1" t="s">
        <v>117</v>
      </c>
      <c r="G573" s="1" t="str">
        <f>"03133300271"</f>
        <v>03133300271</v>
      </c>
      <c r="I573" s="1" t="s">
        <v>1193</v>
      </c>
      <c r="J573" s="1" t="s">
        <v>1191</v>
      </c>
      <c r="K573" s="1" t="s">
        <v>53</v>
      </c>
      <c r="AJ573" s="2">
        <v>45010</v>
      </c>
    </row>
    <row r="574" spans="1:36">
      <c r="A574" s="1" t="str">
        <f>"9736206B5A"</f>
        <v>9736206B5A</v>
      </c>
      <c r="B574" s="1" t="str">
        <f t="shared" si="18"/>
        <v>02406911202</v>
      </c>
      <c r="C574" s="1" t="s">
        <v>13</v>
      </c>
      <c r="D574" s="1" t="s">
        <v>983</v>
      </c>
      <c r="E574" s="1" t="s">
        <v>1239</v>
      </c>
      <c r="F574" s="1" t="s">
        <v>117</v>
      </c>
      <c r="I574" s="1" t="s">
        <v>1191</v>
      </c>
      <c r="L574" s="1" t="s">
        <v>44</v>
      </c>
      <c r="M574" s="1" t="s">
        <v>1240</v>
      </c>
      <c r="AG574" s="1" t="s">
        <v>124</v>
      </c>
      <c r="AH574" s="2">
        <v>45173</v>
      </c>
      <c r="AI574" s="2">
        <v>45538</v>
      </c>
      <c r="AJ574" s="2">
        <v>45010</v>
      </c>
    </row>
    <row r="575" spans="1:36">
      <c r="A575" s="1" t="str">
        <f>"9889496E42"</f>
        <v>9889496E42</v>
      </c>
      <c r="B575" s="1" t="str">
        <f t="shared" si="18"/>
        <v>02406911202</v>
      </c>
      <c r="C575" s="1" t="s">
        <v>13</v>
      </c>
      <c r="D575" s="1" t="s">
        <v>983</v>
      </c>
      <c r="E575" s="1" t="s">
        <v>1241</v>
      </c>
      <c r="F575" s="1" t="s">
        <v>49</v>
      </c>
      <c r="G575" s="1" t="str">
        <f>"03195951201"</f>
        <v>03195951201</v>
      </c>
      <c r="I575" s="1" t="s">
        <v>1064</v>
      </c>
      <c r="L575" s="1" t="s">
        <v>44</v>
      </c>
      <c r="M575" s="1" t="s">
        <v>1242</v>
      </c>
      <c r="AG575" s="1" t="s">
        <v>124</v>
      </c>
      <c r="AH575" s="2">
        <v>45107</v>
      </c>
      <c r="AI575" s="2">
        <v>45199</v>
      </c>
      <c r="AJ575" s="2">
        <v>45107</v>
      </c>
    </row>
    <row r="576" spans="1:36">
      <c r="A576" s="1" t="str">
        <f>"Z2F3B6549D"</f>
        <v>Z2F3B6549D</v>
      </c>
      <c r="B576" s="1" t="str">
        <f t="shared" si="18"/>
        <v>02406911202</v>
      </c>
      <c r="C576" s="1" t="s">
        <v>13</v>
      </c>
      <c r="D576" s="1" t="s">
        <v>983</v>
      </c>
      <c r="E576" s="1" t="s">
        <v>1243</v>
      </c>
      <c r="F576" s="1" t="s">
        <v>99</v>
      </c>
      <c r="G576" s="1" t="str">
        <f>"02359400401"</f>
        <v>02359400401</v>
      </c>
      <c r="I576" s="1" t="s">
        <v>1244</v>
      </c>
      <c r="L576" s="1" t="s">
        <v>44</v>
      </c>
      <c r="M576" s="1" t="s">
        <v>933</v>
      </c>
      <c r="AG576" s="1" t="s">
        <v>124</v>
      </c>
      <c r="AH576" s="2">
        <v>44971</v>
      </c>
      <c r="AI576" s="2">
        <v>45199</v>
      </c>
      <c r="AJ576" s="2">
        <v>44971</v>
      </c>
    </row>
    <row r="577" spans="1:36">
      <c r="A577" s="1" t="str">
        <f>"98988640FE"</f>
        <v>98988640FE</v>
      </c>
      <c r="B577" s="1" t="str">
        <f t="shared" si="18"/>
        <v>02406911202</v>
      </c>
      <c r="C577" s="1" t="s">
        <v>13</v>
      </c>
      <c r="D577" s="1" t="s">
        <v>983</v>
      </c>
      <c r="E577" s="1" t="s">
        <v>1245</v>
      </c>
      <c r="F577" s="1" t="s">
        <v>117</v>
      </c>
      <c r="G577" s="1" t="str">
        <f>"00764990370"</f>
        <v>00764990370</v>
      </c>
      <c r="I577" s="1" t="s">
        <v>1175</v>
      </c>
      <c r="J577" s="1" t="s">
        <v>1176</v>
      </c>
      <c r="K577" s="1" t="s">
        <v>51</v>
      </c>
      <c r="AJ577" s="2">
        <v>45097</v>
      </c>
    </row>
    <row r="578" spans="1:36">
      <c r="A578" s="1" t="str">
        <f>"98988640FE"</f>
        <v>98988640FE</v>
      </c>
      <c r="B578" s="1" t="str">
        <f t="shared" si="18"/>
        <v>02406911202</v>
      </c>
      <c r="C578" s="1" t="s">
        <v>13</v>
      </c>
      <c r="D578" s="1" t="s">
        <v>983</v>
      </c>
      <c r="E578" s="1" t="s">
        <v>1245</v>
      </c>
      <c r="F578" s="1" t="s">
        <v>117</v>
      </c>
      <c r="G578" s="1" t="str">
        <f>"02096661208"</f>
        <v>02096661208</v>
      </c>
      <c r="I578" s="1" t="s">
        <v>1177</v>
      </c>
      <c r="J578" s="1" t="s">
        <v>1176</v>
      </c>
      <c r="K578" s="1" t="s">
        <v>53</v>
      </c>
      <c r="AJ578" s="2">
        <v>45097</v>
      </c>
    </row>
    <row r="579" spans="1:36">
      <c r="A579" s="1" t="str">
        <f>"98988640FE"</f>
        <v>98988640FE</v>
      </c>
      <c r="B579" s="1" t="str">
        <f t="shared" si="18"/>
        <v>02406911202</v>
      </c>
      <c r="C579" s="1" t="s">
        <v>13</v>
      </c>
      <c r="D579" s="1" t="s">
        <v>983</v>
      </c>
      <c r="E579" s="1" t="s">
        <v>1245</v>
      </c>
      <c r="F579" s="1" t="s">
        <v>117</v>
      </c>
      <c r="I579" s="1" t="s">
        <v>1176</v>
      </c>
      <c r="L579" s="1" t="s">
        <v>44</v>
      </c>
      <c r="M579" s="1" t="s">
        <v>1246</v>
      </c>
      <c r="AG579" s="1" t="s">
        <v>124</v>
      </c>
      <c r="AH579" s="2">
        <v>45096</v>
      </c>
      <c r="AI579" s="2">
        <v>45201</v>
      </c>
      <c r="AJ579" s="2">
        <v>45097</v>
      </c>
    </row>
    <row r="580" spans="1:36">
      <c r="A580" s="1" t="str">
        <f>"Z2B3A6C4DF"</f>
        <v>Z2B3A6C4DF</v>
      </c>
      <c r="B580" s="1" t="str">
        <f t="shared" si="18"/>
        <v>02406911202</v>
      </c>
      <c r="C580" s="1" t="s">
        <v>13</v>
      </c>
      <c r="D580" s="1" t="s">
        <v>983</v>
      </c>
      <c r="E580" s="1" t="s">
        <v>1247</v>
      </c>
      <c r="F580" s="1" t="s">
        <v>99</v>
      </c>
      <c r="G580" s="1" t="str">
        <f>"PLMGBR63H06A944J"</f>
        <v>PLMGBR63H06A944J</v>
      </c>
      <c r="I580" s="1" t="s">
        <v>1106</v>
      </c>
      <c r="L580" s="1" t="s">
        <v>44</v>
      </c>
      <c r="M580" s="1" t="s">
        <v>1248</v>
      </c>
      <c r="AG580" s="1" t="s">
        <v>1249</v>
      </c>
      <c r="AH580" s="2">
        <v>45016</v>
      </c>
      <c r="AI580" s="2">
        <v>45077</v>
      </c>
      <c r="AJ580" s="2">
        <v>45002</v>
      </c>
    </row>
    <row r="581" spans="1:36">
      <c r="A581" s="1" t="str">
        <f>"ZE23A70FBO"</f>
        <v>ZE23A70FBO</v>
      </c>
      <c r="B581" s="1" t="str">
        <f t="shared" si="18"/>
        <v>02406911202</v>
      </c>
      <c r="C581" s="1" t="s">
        <v>13</v>
      </c>
      <c r="D581" s="1" t="s">
        <v>983</v>
      </c>
      <c r="E581" s="1" t="s">
        <v>1250</v>
      </c>
      <c r="F581" s="1" t="s">
        <v>99</v>
      </c>
      <c r="G581" s="1" t="str">
        <f>"BRNBBR70D66H501Q"</f>
        <v>BRNBBR70D66H501Q</v>
      </c>
      <c r="I581" s="1" t="s">
        <v>1251</v>
      </c>
      <c r="L581" s="1" t="s">
        <v>44</v>
      </c>
      <c r="M581" s="1" t="s">
        <v>1252</v>
      </c>
      <c r="AG581" s="1" t="s">
        <v>124</v>
      </c>
      <c r="AH581" s="2">
        <v>45016</v>
      </c>
      <c r="AI581" s="2">
        <v>45046</v>
      </c>
      <c r="AJ581" s="2">
        <v>45005</v>
      </c>
    </row>
    <row r="582" spans="1:36">
      <c r="A582" s="1" t="str">
        <f>"Z2E396F262"</f>
        <v>Z2E396F262</v>
      </c>
      <c r="B582" s="1" t="str">
        <f t="shared" ref="B582:B645" si="19">"02406911202"</f>
        <v>02406911202</v>
      </c>
      <c r="C582" s="1" t="s">
        <v>13</v>
      </c>
      <c r="D582" s="1" t="s">
        <v>1253</v>
      </c>
      <c r="E582" s="1" t="s">
        <v>1254</v>
      </c>
      <c r="F582" s="1" t="s">
        <v>49</v>
      </c>
      <c r="G582" s="1" t="str">
        <f>"06068041000"</f>
        <v>06068041000</v>
      </c>
      <c r="I582" s="1" t="s">
        <v>631</v>
      </c>
      <c r="L582" s="1" t="s">
        <v>44</v>
      </c>
      <c r="M582" s="1" t="s">
        <v>1255</v>
      </c>
      <c r="AG582" s="1" t="s">
        <v>1255</v>
      </c>
      <c r="AH582" s="2">
        <v>44936</v>
      </c>
      <c r="AI582" s="2">
        <v>45291</v>
      </c>
      <c r="AJ582" s="2">
        <v>44936</v>
      </c>
    </row>
    <row r="583" spans="1:36">
      <c r="A583" s="1" t="str">
        <f>"ZF1396F2FA"</f>
        <v>ZF1396F2FA</v>
      </c>
      <c r="B583" s="1" t="str">
        <f t="shared" si="19"/>
        <v>02406911202</v>
      </c>
      <c r="C583" s="1" t="s">
        <v>13</v>
      </c>
      <c r="D583" s="1" t="s">
        <v>1253</v>
      </c>
      <c r="E583" s="1" t="s">
        <v>1254</v>
      </c>
      <c r="F583" s="1" t="s">
        <v>49</v>
      </c>
      <c r="G583" s="1" t="str">
        <f>"06068041000"</f>
        <v>06068041000</v>
      </c>
      <c r="I583" s="1" t="s">
        <v>631</v>
      </c>
      <c r="L583" s="1" t="s">
        <v>44</v>
      </c>
      <c r="M583" s="1" t="s">
        <v>1255</v>
      </c>
      <c r="AG583" s="1" t="s">
        <v>1256</v>
      </c>
      <c r="AH583" s="2">
        <v>44936</v>
      </c>
      <c r="AI583" s="2">
        <v>45291</v>
      </c>
      <c r="AJ583" s="2">
        <v>44936</v>
      </c>
    </row>
    <row r="584" spans="1:36">
      <c r="A584" s="1" t="str">
        <f>"ZC4396FC6B"</f>
        <v>ZC4396FC6B</v>
      </c>
      <c r="B584" s="1" t="str">
        <f t="shared" si="19"/>
        <v>02406911202</v>
      </c>
      <c r="C584" s="1" t="s">
        <v>13</v>
      </c>
      <c r="D584" s="1" t="s">
        <v>1257</v>
      </c>
      <c r="E584" s="1" t="s">
        <v>1258</v>
      </c>
      <c r="F584" s="1" t="s">
        <v>49</v>
      </c>
      <c r="G584" s="1" t="str">
        <f>"94294570489"</f>
        <v>94294570489</v>
      </c>
      <c r="I584" s="1" t="s">
        <v>691</v>
      </c>
      <c r="L584" s="1" t="s">
        <v>44</v>
      </c>
      <c r="M584" s="1" t="s">
        <v>103</v>
      </c>
      <c r="AG584" s="1" t="s">
        <v>1259</v>
      </c>
      <c r="AH584" s="2">
        <v>44936</v>
      </c>
      <c r="AI584" s="2">
        <v>45291</v>
      </c>
      <c r="AJ584" s="2">
        <v>44936</v>
      </c>
    </row>
    <row r="585" spans="1:36">
      <c r="A585" s="1" t="str">
        <f>"ZA939700E8"</f>
        <v>ZA939700E8</v>
      </c>
      <c r="B585" s="1" t="str">
        <f t="shared" si="19"/>
        <v>02406911202</v>
      </c>
      <c r="C585" s="1" t="s">
        <v>13</v>
      </c>
      <c r="D585" s="1" t="s">
        <v>1253</v>
      </c>
      <c r="E585" s="1" t="s">
        <v>1260</v>
      </c>
      <c r="F585" s="1" t="s">
        <v>49</v>
      </c>
      <c r="G585" s="1" t="str">
        <f>"03409231200"</f>
        <v>03409231200</v>
      </c>
      <c r="I585" s="1" t="s">
        <v>1261</v>
      </c>
      <c r="L585" s="1" t="s">
        <v>44</v>
      </c>
      <c r="M585" s="1" t="s">
        <v>1255</v>
      </c>
      <c r="AG585" s="1" t="s">
        <v>518</v>
      </c>
      <c r="AH585" s="2">
        <v>44936</v>
      </c>
      <c r="AI585" s="2">
        <v>45291</v>
      </c>
      <c r="AJ585" s="2">
        <v>44936</v>
      </c>
    </row>
    <row r="586" spans="1:36">
      <c r="A586" s="1" t="str">
        <f>"Z023970DBE"</f>
        <v>Z023970DBE</v>
      </c>
      <c r="B586" s="1" t="str">
        <f t="shared" si="19"/>
        <v>02406911202</v>
      </c>
      <c r="C586" s="1" t="s">
        <v>13</v>
      </c>
      <c r="D586" s="1" t="s">
        <v>1253</v>
      </c>
      <c r="E586" s="1" t="s">
        <v>1262</v>
      </c>
      <c r="F586" s="1" t="s">
        <v>49</v>
      </c>
      <c r="G586" s="1" t="str">
        <f>"02457060032"</f>
        <v>02457060032</v>
      </c>
      <c r="I586" s="1" t="s">
        <v>1263</v>
      </c>
      <c r="L586" s="1" t="s">
        <v>44</v>
      </c>
      <c r="M586" s="1" t="s">
        <v>1255</v>
      </c>
      <c r="AG586" s="1" t="s">
        <v>1264</v>
      </c>
      <c r="AH586" s="2">
        <v>44936</v>
      </c>
      <c r="AI586" s="2">
        <v>45291</v>
      </c>
      <c r="AJ586" s="2">
        <v>44936</v>
      </c>
    </row>
    <row r="587" spans="1:36">
      <c r="A587" s="1" t="str">
        <f>"ZA03961A08"</f>
        <v>ZA03961A08</v>
      </c>
      <c r="B587" s="1" t="str">
        <f t="shared" si="19"/>
        <v>02406911202</v>
      </c>
      <c r="C587" s="1" t="s">
        <v>13</v>
      </c>
      <c r="D587" s="1" t="s">
        <v>1253</v>
      </c>
      <c r="E587" s="1" t="s">
        <v>1262</v>
      </c>
      <c r="F587" s="1" t="s">
        <v>49</v>
      </c>
      <c r="G587" s="1" t="str">
        <f>"06058020964"</f>
        <v>06058020964</v>
      </c>
      <c r="I587" s="1" t="s">
        <v>1265</v>
      </c>
      <c r="L587" s="1" t="s">
        <v>44</v>
      </c>
      <c r="M587" s="1" t="s">
        <v>153</v>
      </c>
      <c r="AG587" s="1" t="s">
        <v>1266</v>
      </c>
      <c r="AH587" s="2">
        <v>44929</v>
      </c>
      <c r="AI587" s="2">
        <v>45291</v>
      </c>
      <c r="AJ587" s="2">
        <v>44929</v>
      </c>
    </row>
    <row r="588" spans="1:36">
      <c r="A588" s="1" t="str">
        <f>"Z1939619EC"</f>
        <v>Z1939619EC</v>
      </c>
      <c r="B588" s="1" t="str">
        <f t="shared" si="19"/>
        <v>02406911202</v>
      </c>
      <c r="C588" s="1" t="s">
        <v>13</v>
      </c>
      <c r="D588" s="1" t="s">
        <v>1257</v>
      </c>
      <c r="E588" s="1" t="s">
        <v>1267</v>
      </c>
      <c r="F588" s="1" t="s">
        <v>49</v>
      </c>
      <c r="G588" s="1" t="str">
        <f>"02705540165"</f>
        <v>02705540165</v>
      </c>
      <c r="I588" s="1" t="s">
        <v>1268</v>
      </c>
      <c r="L588" s="1" t="s">
        <v>44</v>
      </c>
      <c r="M588" s="1" t="s">
        <v>103</v>
      </c>
      <c r="AG588" s="1" t="s">
        <v>1269</v>
      </c>
      <c r="AH588" s="2">
        <v>44929</v>
      </c>
      <c r="AI588" s="2">
        <v>45291</v>
      </c>
      <c r="AJ588" s="2">
        <v>44929</v>
      </c>
    </row>
    <row r="589" spans="1:36">
      <c r="A589" s="1" t="str">
        <f>"Z5E3961BDA"</f>
        <v>Z5E3961BDA</v>
      </c>
      <c r="B589" s="1" t="str">
        <f t="shared" si="19"/>
        <v>02406911202</v>
      </c>
      <c r="C589" s="1" t="s">
        <v>13</v>
      </c>
      <c r="D589" s="1" t="s">
        <v>1253</v>
      </c>
      <c r="E589" s="1" t="s">
        <v>1270</v>
      </c>
      <c r="F589" s="1" t="s">
        <v>49</v>
      </c>
      <c r="G589" s="1" t="str">
        <f>"03690650134"</f>
        <v>03690650134</v>
      </c>
      <c r="I589" s="1" t="s">
        <v>1271</v>
      </c>
      <c r="L589" s="1" t="s">
        <v>44</v>
      </c>
      <c r="M589" s="1" t="s">
        <v>153</v>
      </c>
      <c r="AG589" s="1" t="s">
        <v>1272</v>
      </c>
      <c r="AH589" s="2">
        <v>44929</v>
      </c>
      <c r="AI589" s="2">
        <v>45291</v>
      </c>
      <c r="AJ589" s="2">
        <v>44929</v>
      </c>
    </row>
    <row r="590" spans="1:36">
      <c r="A590" s="1" t="str">
        <f>"Z373961A2A"</f>
        <v>Z373961A2A</v>
      </c>
      <c r="B590" s="1" t="str">
        <f t="shared" si="19"/>
        <v>02406911202</v>
      </c>
      <c r="C590" s="1" t="s">
        <v>13</v>
      </c>
      <c r="D590" s="1" t="s">
        <v>1257</v>
      </c>
      <c r="E590" s="1" t="s">
        <v>1273</v>
      </c>
      <c r="F590" s="1" t="s">
        <v>49</v>
      </c>
      <c r="G590" s="1" t="str">
        <f>"01067490050"</f>
        <v>01067490050</v>
      </c>
      <c r="I590" s="1" t="s">
        <v>1274</v>
      </c>
      <c r="L590" s="1" t="s">
        <v>44</v>
      </c>
      <c r="M590" s="1" t="s">
        <v>103</v>
      </c>
      <c r="AG590" s="1" t="s">
        <v>1275</v>
      </c>
      <c r="AH590" s="2">
        <v>44929</v>
      </c>
      <c r="AI590" s="2">
        <v>45291</v>
      </c>
      <c r="AJ590" s="2">
        <v>44929</v>
      </c>
    </row>
    <row r="591" spans="1:36">
      <c r="A591" s="1" t="str">
        <f>"Z083961A3E"</f>
        <v>Z083961A3E</v>
      </c>
      <c r="B591" s="1" t="str">
        <f t="shared" si="19"/>
        <v>02406911202</v>
      </c>
      <c r="C591" s="1" t="s">
        <v>13</v>
      </c>
      <c r="D591" s="1" t="s">
        <v>1257</v>
      </c>
      <c r="E591" s="1" t="s">
        <v>1276</v>
      </c>
      <c r="F591" s="1" t="s">
        <v>49</v>
      </c>
      <c r="G591" s="1" t="str">
        <f>"04823140266"</f>
        <v>04823140266</v>
      </c>
      <c r="I591" s="1" t="s">
        <v>1277</v>
      </c>
      <c r="L591" s="1" t="s">
        <v>44</v>
      </c>
      <c r="M591" s="1" t="s">
        <v>103</v>
      </c>
      <c r="AG591" s="1" t="s">
        <v>1278</v>
      </c>
      <c r="AH591" s="2">
        <v>44929</v>
      </c>
      <c r="AI591" s="2">
        <v>45291</v>
      </c>
      <c r="AJ591" s="2">
        <v>44929</v>
      </c>
    </row>
    <row r="592" spans="1:36">
      <c r="A592" s="1" t="str">
        <f>"ZEB3962180"</f>
        <v>ZEB3962180</v>
      </c>
      <c r="B592" s="1" t="str">
        <f t="shared" si="19"/>
        <v>02406911202</v>
      </c>
      <c r="C592" s="1" t="s">
        <v>13</v>
      </c>
      <c r="D592" s="1" t="s">
        <v>1257</v>
      </c>
      <c r="E592" s="1" t="s">
        <v>1279</v>
      </c>
      <c r="F592" s="1" t="s">
        <v>49</v>
      </c>
      <c r="G592" s="1" t="str">
        <f>"01681100150"</f>
        <v>01681100150</v>
      </c>
      <c r="I592" s="1" t="s">
        <v>92</v>
      </c>
      <c r="L592" s="1" t="s">
        <v>44</v>
      </c>
      <c r="M592" s="1" t="s">
        <v>103</v>
      </c>
      <c r="AG592" s="1" t="s">
        <v>1280</v>
      </c>
      <c r="AH592" s="2">
        <v>44929</v>
      </c>
      <c r="AI592" s="2">
        <v>45291</v>
      </c>
      <c r="AJ592" s="2">
        <v>44929</v>
      </c>
    </row>
    <row r="593" spans="1:36">
      <c r="A593" s="1" t="str">
        <f>"Z6639621EE"</f>
        <v>Z6639621EE</v>
      </c>
      <c r="B593" s="1" t="str">
        <f t="shared" si="19"/>
        <v>02406911202</v>
      </c>
      <c r="C593" s="1" t="s">
        <v>13</v>
      </c>
      <c r="D593" s="1" t="s">
        <v>1257</v>
      </c>
      <c r="E593" s="1" t="s">
        <v>1281</v>
      </c>
      <c r="F593" s="1" t="s">
        <v>49</v>
      </c>
      <c r="G593" s="1" t="str">
        <f>"04015790407"</f>
        <v>04015790407</v>
      </c>
      <c r="I593" s="1" t="s">
        <v>1282</v>
      </c>
      <c r="L593" s="1" t="s">
        <v>44</v>
      </c>
      <c r="M593" s="1" t="s">
        <v>103</v>
      </c>
      <c r="AG593" s="1" t="s">
        <v>1283</v>
      </c>
      <c r="AH593" s="2">
        <v>44929</v>
      </c>
      <c r="AI593" s="2">
        <v>45291</v>
      </c>
      <c r="AJ593" s="2">
        <v>44929</v>
      </c>
    </row>
    <row r="594" spans="1:36">
      <c r="A594" s="1" t="str">
        <f>"Z0C396222F"</f>
        <v>Z0C396222F</v>
      </c>
      <c r="B594" s="1" t="str">
        <f t="shared" si="19"/>
        <v>02406911202</v>
      </c>
      <c r="C594" s="1" t="s">
        <v>13</v>
      </c>
      <c r="D594" s="1" t="s">
        <v>1257</v>
      </c>
      <c r="E594" s="1" t="s">
        <v>1284</v>
      </c>
      <c r="F594" s="1" t="s">
        <v>49</v>
      </c>
      <c r="G594" s="1" t="str">
        <f>"03043200611"</f>
        <v>03043200611</v>
      </c>
      <c r="I594" s="1" t="s">
        <v>150</v>
      </c>
      <c r="L594" s="1" t="s">
        <v>44</v>
      </c>
      <c r="M594" s="1" t="s">
        <v>103</v>
      </c>
      <c r="AG594" s="1" t="s">
        <v>931</v>
      </c>
      <c r="AH594" s="2">
        <v>44929</v>
      </c>
      <c r="AI594" s="2">
        <v>45291</v>
      </c>
      <c r="AJ594" s="2">
        <v>44929</v>
      </c>
    </row>
    <row r="595" spans="1:36">
      <c r="A595" s="1" t="str">
        <f>"ZDD3963E15"</f>
        <v>ZDD3963E15</v>
      </c>
      <c r="B595" s="1" t="str">
        <f t="shared" si="19"/>
        <v>02406911202</v>
      </c>
      <c r="C595" s="1" t="s">
        <v>13</v>
      </c>
      <c r="D595" s="1" t="s">
        <v>1253</v>
      </c>
      <c r="E595" s="1" t="s">
        <v>1254</v>
      </c>
      <c r="F595" s="1" t="s">
        <v>49</v>
      </c>
      <c r="G595" s="1" t="str">
        <f>"03279980134"</f>
        <v>03279980134</v>
      </c>
      <c r="I595" s="1" t="s">
        <v>1285</v>
      </c>
      <c r="L595" s="1" t="s">
        <v>44</v>
      </c>
      <c r="M595" s="1" t="s">
        <v>1255</v>
      </c>
      <c r="AG595" s="1" t="s">
        <v>124</v>
      </c>
      <c r="AH595" s="2">
        <v>44929</v>
      </c>
      <c r="AI595" s="2">
        <v>45291</v>
      </c>
      <c r="AJ595" s="2">
        <v>44929</v>
      </c>
    </row>
    <row r="596" spans="1:36">
      <c r="A596" s="1" t="str">
        <f>"Z863963E2A"</f>
        <v>Z863963E2A</v>
      </c>
      <c r="B596" s="1" t="str">
        <f t="shared" si="19"/>
        <v>02406911202</v>
      </c>
      <c r="C596" s="1" t="s">
        <v>13</v>
      </c>
      <c r="D596" s="1" t="s">
        <v>1253</v>
      </c>
      <c r="E596" s="1" t="s">
        <v>1254</v>
      </c>
      <c r="F596" s="1" t="s">
        <v>49</v>
      </c>
      <c r="G596" s="1" t="str">
        <f>"02123550200"</f>
        <v>02123550200</v>
      </c>
      <c r="I596" s="1" t="s">
        <v>1286</v>
      </c>
      <c r="L596" s="1" t="s">
        <v>44</v>
      </c>
      <c r="M596" s="1" t="s">
        <v>1255</v>
      </c>
      <c r="AG596" s="1" t="s">
        <v>1287</v>
      </c>
      <c r="AH596" s="2">
        <v>44929</v>
      </c>
      <c r="AI596" s="2">
        <v>45291</v>
      </c>
      <c r="AJ596" s="2">
        <v>44929</v>
      </c>
    </row>
    <row r="597" spans="1:36">
      <c r="A597" s="1" t="str">
        <f>"ZD73963E6D"</f>
        <v>ZD73963E6D</v>
      </c>
      <c r="B597" s="1" t="str">
        <f t="shared" si="19"/>
        <v>02406911202</v>
      </c>
      <c r="C597" s="1" t="s">
        <v>13</v>
      </c>
      <c r="D597" s="1" t="s">
        <v>1253</v>
      </c>
      <c r="E597" s="1" t="s">
        <v>1254</v>
      </c>
      <c r="F597" s="1" t="s">
        <v>49</v>
      </c>
      <c r="G597" s="1" t="str">
        <f>"01885550366"</f>
        <v>01885550366</v>
      </c>
      <c r="I597" s="1" t="s">
        <v>1288</v>
      </c>
      <c r="L597" s="1" t="s">
        <v>44</v>
      </c>
      <c r="M597" s="1" t="s">
        <v>1255</v>
      </c>
      <c r="AG597" s="1" t="s">
        <v>831</v>
      </c>
      <c r="AH597" s="2">
        <v>44929</v>
      </c>
      <c r="AI597" s="2">
        <v>45291</v>
      </c>
      <c r="AJ597" s="2">
        <v>44929</v>
      </c>
    </row>
    <row r="598" spans="1:36">
      <c r="A598" s="1" t="str">
        <f>"Z6638F1EB1"</f>
        <v>Z6638F1EB1</v>
      </c>
      <c r="B598" s="1" t="str">
        <f t="shared" si="19"/>
        <v>02406911202</v>
      </c>
      <c r="C598" s="1" t="s">
        <v>13</v>
      </c>
      <c r="D598" s="1" t="s">
        <v>37</v>
      </c>
      <c r="E598" s="1" t="s">
        <v>1289</v>
      </c>
      <c r="F598" s="1" t="s">
        <v>117</v>
      </c>
      <c r="G598" s="1" t="str">
        <f>"00929440592"</f>
        <v>00929440592</v>
      </c>
      <c r="I598" s="1" t="s">
        <v>1290</v>
      </c>
      <c r="L598" s="1" t="s">
        <v>44</v>
      </c>
      <c r="M598" s="1" t="s">
        <v>1291</v>
      </c>
      <c r="AG598" s="1" t="s">
        <v>1291</v>
      </c>
      <c r="AH598" s="2">
        <v>44927</v>
      </c>
      <c r="AI598" s="2">
        <v>45291</v>
      </c>
      <c r="AJ598" s="2">
        <v>44927</v>
      </c>
    </row>
    <row r="599" spans="1:36">
      <c r="A599" s="1" t="str">
        <f>"9448348F69"</f>
        <v>9448348F69</v>
      </c>
      <c r="B599" s="1" t="str">
        <f t="shared" si="19"/>
        <v>02406911202</v>
      </c>
      <c r="C599" s="1" t="s">
        <v>13</v>
      </c>
      <c r="D599" s="1" t="s">
        <v>37</v>
      </c>
      <c r="E599" s="1" t="s">
        <v>1292</v>
      </c>
      <c r="F599" s="1" t="s">
        <v>117</v>
      </c>
      <c r="G599" s="1" t="str">
        <f>"04472901000"</f>
        <v>04472901000</v>
      </c>
      <c r="I599" s="1" t="s">
        <v>1293</v>
      </c>
      <c r="L599" s="1" t="s">
        <v>44</v>
      </c>
      <c r="M599" s="1" t="s">
        <v>1294</v>
      </c>
      <c r="AG599" s="1" t="s">
        <v>124</v>
      </c>
      <c r="AH599" s="2">
        <v>44927</v>
      </c>
      <c r="AI599" s="2">
        <v>45838</v>
      </c>
      <c r="AJ599" s="2">
        <v>44927</v>
      </c>
    </row>
    <row r="600" spans="1:36">
      <c r="A600" s="1" t="str">
        <f>"Z143967A9F"</f>
        <v>Z143967A9F</v>
      </c>
      <c r="B600" s="1" t="str">
        <f t="shared" si="19"/>
        <v>02406911202</v>
      </c>
      <c r="C600" s="1" t="s">
        <v>13</v>
      </c>
      <c r="D600" s="1" t="s">
        <v>1253</v>
      </c>
      <c r="E600" s="1" t="s">
        <v>1260</v>
      </c>
      <c r="F600" s="1" t="s">
        <v>49</v>
      </c>
      <c r="G600" s="1" t="str">
        <f>"08082461008"</f>
        <v>08082461008</v>
      </c>
      <c r="I600" s="1" t="s">
        <v>423</v>
      </c>
      <c r="L600" s="1" t="s">
        <v>44</v>
      </c>
      <c r="M600" s="1" t="s">
        <v>1255</v>
      </c>
      <c r="AG600" s="1" t="s">
        <v>1295</v>
      </c>
      <c r="AH600" s="2">
        <v>44931</v>
      </c>
      <c r="AI600" s="2">
        <v>45291</v>
      </c>
      <c r="AJ600" s="2">
        <v>44931</v>
      </c>
    </row>
    <row r="601" spans="1:36">
      <c r="A601" s="1" t="str">
        <f>"Z983967AE7"</f>
        <v>Z983967AE7</v>
      </c>
      <c r="B601" s="1" t="str">
        <f t="shared" si="19"/>
        <v>02406911202</v>
      </c>
      <c r="C601" s="1" t="s">
        <v>13</v>
      </c>
      <c r="D601" s="1" t="s">
        <v>1253</v>
      </c>
      <c r="E601" s="1" t="s">
        <v>1260</v>
      </c>
      <c r="F601" s="1" t="s">
        <v>49</v>
      </c>
      <c r="G601" s="1" t="str">
        <f>"04289840268"</f>
        <v>04289840268</v>
      </c>
      <c r="I601" s="1" t="s">
        <v>1296</v>
      </c>
      <c r="L601" s="1" t="s">
        <v>44</v>
      </c>
      <c r="M601" s="1" t="s">
        <v>1255</v>
      </c>
      <c r="AG601" s="1" t="s">
        <v>1297</v>
      </c>
      <c r="AH601" s="2">
        <v>44931</v>
      </c>
      <c r="AI601" s="2">
        <v>45291</v>
      </c>
      <c r="AJ601" s="2">
        <v>44931</v>
      </c>
    </row>
    <row r="602" spans="1:36">
      <c r="A602" s="1" t="str">
        <f>"Z563967DB4"</f>
        <v>Z563967DB4</v>
      </c>
      <c r="B602" s="1" t="str">
        <f t="shared" si="19"/>
        <v>02406911202</v>
      </c>
      <c r="C602" s="1" t="s">
        <v>13</v>
      </c>
      <c r="D602" s="1" t="s">
        <v>1257</v>
      </c>
      <c r="E602" s="1" t="s">
        <v>1298</v>
      </c>
      <c r="F602" s="1" t="s">
        <v>49</v>
      </c>
      <c r="G602" s="1" t="str">
        <f>"00197370281"</f>
        <v>00197370281</v>
      </c>
      <c r="I602" s="1" t="s">
        <v>1299</v>
      </c>
      <c r="L602" s="1" t="s">
        <v>44</v>
      </c>
      <c r="M602" s="1" t="s">
        <v>509</v>
      </c>
      <c r="AG602" s="1" t="s">
        <v>1300</v>
      </c>
      <c r="AH602" s="2">
        <v>44931</v>
      </c>
      <c r="AI602" s="2">
        <v>45291</v>
      </c>
      <c r="AJ602" s="2">
        <v>44931</v>
      </c>
    </row>
    <row r="603" spans="1:36">
      <c r="A603" s="1" t="str">
        <f>"ZAD396876D"</f>
        <v>ZAD396876D</v>
      </c>
      <c r="B603" s="1" t="str">
        <f t="shared" si="19"/>
        <v>02406911202</v>
      </c>
      <c r="C603" s="1" t="s">
        <v>13</v>
      </c>
      <c r="D603" s="1" t="s">
        <v>1257</v>
      </c>
      <c r="E603" s="1" t="s">
        <v>1301</v>
      </c>
      <c r="F603" s="1" t="s">
        <v>49</v>
      </c>
      <c r="G603" s="1" t="str">
        <f>"02504331204"</f>
        <v>02504331204</v>
      </c>
      <c r="I603" s="1" t="s">
        <v>1302</v>
      </c>
      <c r="L603" s="1" t="s">
        <v>44</v>
      </c>
      <c r="M603" s="1" t="s">
        <v>103</v>
      </c>
      <c r="AG603" s="1" t="s">
        <v>1303</v>
      </c>
      <c r="AH603" s="2">
        <v>44931</v>
      </c>
      <c r="AI603" s="2">
        <v>45291</v>
      </c>
      <c r="AJ603" s="2">
        <v>44931</v>
      </c>
    </row>
    <row r="604" spans="1:36">
      <c r="A604" s="1" t="str">
        <f>"ZF339687AA"</f>
        <v>ZF339687AA</v>
      </c>
      <c r="B604" s="1" t="str">
        <f t="shared" si="19"/>
        <v>02406911202</v>
      </c>
      <c r="C604" s="1" t="s">
        <v>13</v>
      </c>
      <c r="D604" s="1" t="s">
        <v>1257</v>
      </c>
      <c r="E604" s="1" t="s">
        <v>1304</v>
      </c>
      <c r="F604" s="1" t="s">
        <v>49</v>
      </c>
      <c r="G604" s="1" t="str">
        <f>"00881170153"</f>
        <v>00881170153</v>
      </c>
      <c r="I604" s="1" t="s">
        <v>1305</v>
      </c>
      <c r="L604" s="1" t="s">
        <v>44</v>
      </c>
      <c r="M604" s="1" t="s">
        <v>103</v>
      </c>
      <c r="AG604" s="1" t="s">
        <v>1306</v>
      </c>
      <c r="AH604" s="2">
        <v>44931</v>
      </c>
      <c r="AI604" s="2">
        <v>45291</v>
      </c>
      <c r="AJ604" s="2">
        <v>44931</v>
      </c>
    </row>
    <row r="605" spans="1:36">
      <c r="A605" s="1" t="str">
        <f>"ZA83963E81"</f>
        <v>ZA83963E81</v>
      </c>
      <c r="B605" s="1" t="str">
        <f t="shared" si="19"/>
        <v>02406911202</v>
      </c>
      <c r="C605" s="1" t="s">
        <v>13</v>
      </c>
      <c r="D605" s="1" t="s">
        <v>1253</v>
      </c>
      <c r="E605" s="1" t="s">
        <v>1254</v>
      </c>
      <c r="F605" s="1" t="s">
        <v>49</v>
      </c>
      <c r="G605" s="1" t="str">
        <f>"04156880371"</f>
        <v>04156880371</v>
      </c>
      <c r="I605" s="1" t="s">
        <v>1307</v>
      </c>
      <c r="L605" s="1" t="s">
        <v>44</v>
      </c>
      <c r="M605" s="1" t="s">
        <v>1255</v>
      </c>
      <c r="AG605" s="1" t="s">
        <v>1308</v>
      </c>
      <c r="AH605" s="2">
        <v>44929</v>
      </c>
      <c r="AI605" s="2">
        <v>45291</v>
      </c>
      <c r="AJ605" s="2">
        <v>44929</v>
      </c>
    </row>
    <row r="606" spans="1:36">
      <c r="A606" s="1" t="str">
        <f>"Z8B39690E4"</f>
        <v>Z8B39690E4</v>
      </c>
      <c r="B606" s="1" t="str">
        <f t="shared" si="19"/>
        <v>02406911202</v>
      </c>
      <c r="C606" s="1" t="s">
        <v>13</v>
      </c>
      <c r="D606" s="1" t="s">
        <v>1257</v>
      </c>
      <c r="E606" s="1" t="s">
        <v>1309</v>
      </c>
      <c r="F606" s="1" t="s">
        <v>49</v>
      </c>
      <c r="G606" s="1" t="str">
        <f>"00673881207"</f>
        <v>00673881207</v>
      </c>
      <c r="I606" s="1" t="s">
        <v>1310</v>
      </c>
      <c r="L606" s="1" t="s">
        <v>44</v>
      </c>
      <c r="M606" s="1" t="s">
        <v>103</v>
      </c>
      <c r="AG606" s="1" t="s">
        <v>1311</v>
      </c>
      <c r="AH606" s="2">
        <v>44931</v>
      </c>
      <c r="AI606" s="2">
        <v>45291</v>
      </c>
      <c r="AJ606" s="2">
        <v>44931</v>
      </c>
    </row>
    <row r="607" spans="1:36">
      <c r="A607" s="1" t="str">
        <f>"Z6B396806C"</f>
        <v>Z6B396806C</v>
      </c>
      <c r="B607" s="1" t="str">
        <f t="shared" si="19"/>
        <v>02406911202</v>
      </c>
      <c r="C607" s="1" t="s">
        <v>13</v>
      </c>
      <c r="D607" s="1" t="s">
        <v>1312</v>
      </c>
      <c r="E607" s="1" t="s">
        <v>1313</v>
      </c>
      <c r="F607" s="1" t="s">
        <v>49</v>
      </c>
      <c r="G607" s="1" t="str">
        <f>"02044501001"</f>
        <v>02044501001</v>
      </c>
      <c r="I607" s="1" t="s">
        <v>885</v>
      </c>
      <c r="L607" s="1" t="s">
        <v>44</v>
      </c>
      <c r="M607" s="1" t="s">
        <v>1314</v>
      </c>
      <c r="AG607" s="1" t="s">
        <v>1315</v>
      </c>
      <c r="AH607" s="2">
        <v>44931</v>
      </c>
      <c r="AI607" s="2">
        <v>45291</v>
      </c>
      <c r="AJ607" s="2">
        <v>44931</v>
      </c>
    </row>
    <row r="608" spans="1:36">
      <c r="A608" s="1" t="str">
        <f>"ZDE396A54D"</f>
        <v>ZDE396A54D</v>
      </c>
      <c r="B608" s="1" t="str">
        <f t="shared" si="19"/>
        <v>02406911202</v>
      </c>
      <c r="C608" s="1" t="s">
        <v>13</v>
      </c>
      <c r="D608" s="1" t="s">
        <v>1253</v>
      </c>
      <c r="E608" s="1" t="s">
        <v>1254</v>
      </c>
      <c r="F608" s="1" t="s">
        <v>49</v>
      </c>
      <c r="G608" s="1" t="str">
        <f>"05985320158"</f>
        <v>05985320158</v>
      </c>
      <c r="I608" s="1" t="s">
        <v>1316</v>
      </c>
      <c r="L608" s="1" t="s">
        <v>44</v>
      </c>
      <c r="M608" s="1" t="s">
        <v>1255</v>
      </c>
      <c r="AG608" s="1" t="s">
        <v>948</v>
      </c>
      <c r="AH608" s="2">
        <v>44935</v>
      </c>
      <c r="AI608" s="2">
        <v>45291</v>
      </c>
      <c r="AJ608" s="2">
        <v>44935</v>
      </c>
    </row>
    <row r="609" spans="1:36">
      <c r="A609" s="1" t="str">
        <f>"Z6A396A569"</f>
        <v>Z6A396A569</v>
      </c>
      <c r="B609" s="1" t="str">
        <f t="shared" si="19"/>
        <v>02406911202</v>
      </c>
      <c r="C609" s="1" t="s">
        <v>13</v>
      </c>
      <c r="D609" s="1" t="s">
        <v>1253</v>
      </c>
      <c r="E609" s="1" t="s">
        <v>1317</v>
      </c>
      <c r="F609" s="1" t="s">
        <v>49</v>
      </c>
      <c r="G609" s="1" t="str">
        <f>"03692250966"</f>
        <v>03692250966</v>
      </c>
      <c r="I609" s="1" t="s">
        <v>1318</v>
      </c>
      <c r="L609" s="1" t="s">
        <v>44</v>
      </c>
      <c r="M609" s="1" t="s">
        <v>1255</v>
      </c>
      <c r="AG609" s="1" t="s">
        <v>1319</v>
      </c>
      <c r="AH609" s="2">
        <v>44935</v>
      </c>
      <c r="AI609" s="2">
        <v>45291</v>
      </c>
      <c r="AJ609" s="2">
        <v>44935</v>
      </c>
    </row>
    <row r="610" spans="1:36">
      <c r="A610" s="1" t="str">
        <f>"ZDB396A579"</f>
        <v>ZDB396A579</v>
      </c>
      <c r="B610" s="1" t="str">
        <f t="shared" si="19"/>
        <v>02406911202</v>
      </c>
      <c r="C610" s="1" t="s">
        <v>13</v>
      </c>
      <c r="D610" s="1" t="s">
        <v>1253</v>
      </c>
      <c r="E610" s="1" t="s">
        <v>1317</v>
      </c>
      <c r="F610" s="1" t="s">
        <v>49</v>
      </c>
      <c r="G610" s="1" t="str">
        <f>"00495451205"</f>
        <v>00495451205</v>
      </c>
      <c r="I610" s="1" t="s">
        <v>1320</v>
      </c>
      <c r="L610" s="1" t="s">
        <v>44</v>
      </c>
      <c r="M610" s="1" t="s">
        <v>1255</v>
      </c>
      <c r="AG610" s="1" t="s">
        <v>1321</v>
      </c>
      <c r="AH610" s="2">
        <v>44935</v>
      </c>
      <c r="AI610" s="2">
        <v>45291</v>
      </c>
      <c r="AJ610" s="2">
        <v>44935</v>
      </c>
    </row>
    <row r="611" spans="1:36">
      <c r="A611" s="1" t="str">
        <f>"Z90396A5D9"</f>
        <v>Z90396A5D9</v>
      </c>
      <c r="B611" s="1" t="str">
        <f t="shared" si="19"/>
        <v>02406911202</v>
      </c>
      <c r="C611" s="1" t="s">
        <v>13</v>
      </c>
      <c r="D611" s="1" t="s">
        <v>1253</v>
      </c>
      <c r="E611" s="1" t="s">
        <v>1317</v>
      </c>
      <c r="F611" s="1" t="s">
        <v>49</v>
      </c>
      <c r="G611" s="1" t="str">
        <f>"02173550282"</f>
        <v>02173550282</v>
      </c>
      <c r="I611" s="1" t="s">
        <v>634</v>
      </c>
      <c r="L611" s="1" t="s">
        <v>44</v>
      </c>
      <c r="M611" s="1" t="s">
        <v>1255</v>
      </c>
      <c r="AG611" s="1" t="s">
        <v>1322</v>
      </c>
      <c r="AH611" s="2">
        <v>44935</v>
      </c>
      <c r="AI611" s="2">
        <v>45291</v>
      </c>
      <c r="AJ611" s="2">
        <v>44935</v>
      </c>
    </row>
    <row r="612" spans="1:36">
      <c r="A612" s="1" t="str">
        <f>"Z6C396A5F3"</f>
        <v>Z6C396A5F3</v>
      </c>
      <c r="B612" s="1" t="str">
        <f t="shared" si="19"/>
        <v>02406911202</v>
      </c>
      <c r="C612" s="1" t="s">
        <v>13</v>
      </c>
      <c r="D612" s="1" t="s">
        <v>1253</v>
      </c>
      <c r="E612" s="1" t="s">
        <v>1317</v>
      </c>
      <c r="F612" s="1" t="s">
        <v>49</v>
      </c>
      <c r="G612" s="1" t="str">
        <f>"07435060152"</f>
        <v>07435060152</v>
      </c>
      <c r="I612" s="1" t="s">
        <v>359</v>
      </c>
      <c r="L612" s="1" t="s">
        <v>44</v>
      </c>
      <c r="M612" s="1" t="s">
        <v>1255</v>
      </c>
      <c r="AG612" s="1" t="s">
        <v>1323</v>
      </c>
      <c r="AH612" s="2">
        <v>44935</v>
      </c>
      <c r="AI612" s="2">
        <v>45291</v>
      </c>
      <c r="AJ612" s="2">
        <v>44935</v>
      </c>
    </row>
    <row r="613" spans="1:36">
      <c r="A613" s="1" t="str">
        <f>"Z03396A615"</f>
        <v>Z03396A615</v>
      </c>
      <c r="B613" s="1" t="str">
        <f t="shared" si="19"/>
        <v>02406911202</v>
      </c>
      <c r="C613" s="1" t="s">
        <v>13</v>
      </c>
      <c r="D613" s="1" t="s">
        <v>1253</v>
      </c>
      <c r="E613" s="1" t="s">
        <v>1317</v>
      </c>
      <c r="F613" s="1" t="s">
        <v>49</v>
      </c>
      <c r="G613" s="1" t="str">
        <f>"08082461008"</f>
        <v>08082461008</v>
      </c>
      <c r="I613" s="1" t="s">
        <v>423</v>
      </c>
      <c r="L613" s="1" t="s">
        <v>44</v>
      </c>
      <c r="M613" s="1" t="s">
        <v>1255</v>
      </c>
      <c r="AG613" s="1" t="s">
        <v>1324</v>
      </c>
      <c r="AH613" s="2">
        <v>44935</v>
      </c>
      <c r="AI613" s="2">
        <v>45291</v>
      </c>
      <c r="AJ613" s="2">
        <v>44935</v>
      </c>
    </row>
    <row r="614" spans="1:36">
      <c r="A614" s="1" t="str">
        <f>"Z04396B319"</f>
        <v>Z04396B319</v>
      </c>
      <c r="B614" s="1" t="str">
        <f t="shared" si="19"/>
        <v>02406911202</v>
      </c>
      <c r="C614" s="1" t="s">
        <v>13</v>
      </c>
      <c r="D614" s="1" t="s">
        <v>1253</v>
      </c>
      <c r="E614" s="1" t="s">
        <v>1325</v>
      </c>
      <c r="F614" s="1" t="s">
        <v>49</v>
      </c>
      <c r="G614" s="1" t="str">
        <f>"00272420639"</f>
        <v>00272420639</v>
      </c>
      <c r="I614" s="1" t="s">
        <v>1326</v>
      </c>
      <c r="L614" s="1" t="s">
        <v>44</v>
      </c>
      <c r="M614" s="1" t="s">
        <v>1255</v>
      </c>
      <c r="AG614" s="1" t="s">
        <v>1327</v>
      </c>
      <c r="AH614" s="2">
        <v>44935</v>
      </c>
      <c r="AI614" s="2">
        <v>45291</v>
      </c>
      <c r="AJ614" s="2">
        <v>44935</v>
      </c>
    </row>
    <row r="615" spans="1:36">
      <c r="A615" s="1" t="str">
        <f>"ZF6396B498"</f>
        <v>ZF6396B498</v>
      </c>
      <c r="B615" s="1" t="str">
        <f t="shared" si="19"/>
        <v>02406911202</v>
      </c>
      <c r="C615" s="1" t="s">
        <v>13</v>
      </c>
      <c r="D615" s="1" t="s">
        <v>1253</v>
      </c>
      <c r="E615" s="1" t="s">
        <v>1260</v>
      </c>
      <c r="F615" s="1" t="s">
        <v>49</v>
      </c>
      <c r="G615" s="1" t="str">
        <f>"09270550016"</f>
        <v>09270550016</v>
      </c>
      <c r="I615" s="1" t="s">
        <v>1328</v>
      </c>
      <c r="L615" s="1" t="s">
        <v>44</v>
      </c>
      <c r="M615" s="1" t="s">
        <v>1255</v>
      </c>
      <c r="AG615" s="1" t="s">
        <v>1329</v>
      </c>
      <c r="AH615" s="2">
        <v>44935</v>
      </c>
      <c r="AI615" s="2">
        <v>45291</v>
      </c>
      <c r="AJ615" s="2">
        <v>44935</v>
      </c>
    </row>
    <row r="616" spans="1:36">
      <c r="A616" s="1" t="str">
        <f>"Z31396B471"</f>
        <v>Z31396B471</v>
      </c>
      <c r="B616" s="1" t="str">
        <f t="shared" si="19"/>
        <v>02406911202</v>
      </c>
      <c r="C616" s="1" t="s">
        <v>13</v>
      </c>
      <c r="D616" s="1" t="s">
        <v>1253</v>
      </c>
      <c r="E616" s="1" t="s">
        <v>1260</v>
      </c>
      <c r="F616" s="1" t="s">
        <v>49</v>
      </c>
      <c r="G616" s="1" t="str">
        <f>"02417881204"</f>
        <v>02417881204</v>
      </c>
      <c r="I616" s="1" t="s">
        <v>1330</v>
      </c>
      <c r="L616" s="1" t="s">
        <v>44</v>
      </c>
      <c r="M616" s="1" t="s">
        <v>1255</v>
      </c>
      <c r="AG616" s="1" t="s">
        <v>1331</v>
      </c>
      <c r="AH616" s="2">
        <v>44935</v>
      </c>
      <c r="AI616" s="2">
        <v>45291</v>
      </c>
      <c r="AJ616" s="2">
        <v>44935</v>
      </c>
    </row>
    <row r="617" spans="1:36">
      <c r="A617" s="1" t="str">
        <f>"ZD0396BC00"</f>
        <v>ZD0396BC00</v>
      </c>
      <c r="B617" s="1" t="str">
        <f t="shared" si="19"/>
        <v>02406911202</v>
      </c>
      <c r="C617" s="1" t="s">
        <v>13</v>
      </c>
      <c r="D617" s="1" t="s">
        <v>1253</v>
      </c>
      <c r="E617" s="1" t="s">
        <v>1262</v>
      </c>
      <c r="F617" s="1" t="s">
        <v>49</v>
      </c>
      <c r="G617" s="1" t="str">
        <f>"15281641009"</f>
        <v>15281641009</v>
      </c>
      <c r="I617" s="1" t="s">
        <v>1332</v>
      </c>
      <c r="L617" s="1" t="s">
        <v>44</v>
      </c>
      <c r="M617" s="1" t="s">
        <v>153</v>
      </c>
      <c r="AG617" s="1" t="s">
        <v>1333</v>
      </c>
      <c r="AH617" s="2">
        <v>44935</v>
      </c>
      <c r="AI617" s="2">
        <v>45291</v>
      </c>
      <c r="AJ617" s="2">
        <v>44935</v>
      </c>
    </row>
    <row r="618" spans="1:36">
      <c r="A618" s="1" t="str">
        <f>"ZCA396C626"</f>
        <v>ZCA396C626</v>
      </c>
      <c r="B618" s="1" t="str">
        <f t="shared" si="19"/>
        <v>02406911202</v>
      </c>
      <c r="C618" s="1" t="s">
        <v>13</v>
      </c>
      <c r="D618" s="1" t="s">
        <v>1312</v>
      </c>
      <c r="E618" s="1" t="s">
        <v>1334</v>
      </c>
      <c r="F618" s="1" t="s">
        <v>49</v>
      </c>
      <c r="G618" s="1" t="str">
        <f>"02668590215"</f>
        <v>02668590215</v>
      </c>
      <c r="I618" s="1" t="s">
        <v>1335</v>
      </c>
      <c r="L618" s="1" t="s">
        <v>44</v>
      </c>
      <c r="M618" s="1" t="s">
        <v>1314</v>
      </c>
      <c r="AG618" s="1" t="s">
        <v>1336</v>
      </c>
      <c r="AH618" s="2">
        <v>44935</v>
      </c>
      <c r="AI618" s="2">
        <v>46022</v>
      </c>
      <c r="AJ618" s="2">
        <v>44935</v>
      </c>
    </row>
    <row r="619" spans="1:36">
      <c r="A619" s="1" t="str">
        <f>"ZD4396D49C"</f>
        <v>ZD4396D49C</v>
      </c>
      <c r="B619" s="1" t="str">
        <f t="shared" si="19"/>
        <v>02406911202</v>
      </c>
      <c r="C619" s="1" t="s">
        <v>13</v>
      </c>
      <c r="D619" s="1" t="s">
        <v>1253</v>
      </c>
      <c r="E619" s="1" t="s">
        <v>1260</v>
      </c>
      <c r="F619" s="1" t="s">
        <v>49</v>
      </c>
      <c r="G619" s="1" t="str">
        <f>"03353370160"</f>
        <v>03353370160</v>
      </c>
      <c r="I619" s="1" t="s">
        <v>1337</v>
      </c>
      <c r="L619" s="1" t="s">
        <v>44</v>
      </c>
      <c r="M619" s="1" t="s">
        <v>1255</v>
      </c>
      <c r="AG619" s="1" t="s">
        <v>1338</v>
      </c>
      <c r="AH619" s="2">
        <v>44935</v>
      </c>
      <c r="AI619" s="2">
        <v>45291</v>
      </c>
      <c r="AJ619" s="2">
        <v>44935</v>
      </c>
    </row>
    <row r="620" spans="1:36">
      <c r="A620" s="1" t="str">
        <f>"ZB5396D70A"</f>
        <v>ZB5396D70A</v>
      </c>
      <c r="B620" s="1" t="str">
        <f t="shared" si="19"/>
        <v>02406911202</v>
      </c>
      <c r="C620" s="1" t="s">
        <v>13</v>
      </c>
      <c r="D620" s="1" t="s">
        <v>1312</v>
      </c>
      <c r="E620" s="1" t="s">
        <v>1339</v>
      </c>
      <c r="F620" s="1" t="s">
        <v>49</v>
      </c>
      <c r="G620" s="1" t="str">
        <f>"01067490050"</f>
        <v>01067490050</v>
      </c>
      <c r="I620" s="1" t="s">
        <v>1274</v>
      </c>
      <c r="L620" s="1" t="s">
        <v>44</v>
      </c>
      <c r="M620" s="1" t="s">
        <v>1314</v>
      </c>
      <c r="AG620" s="1" t="s">
        <v>1340</v>
      </c>
      <c r="AH620" s="2">
        <v>44935</v>
      </c>
      <c r="AI620" s="2">
        <v>46022</v>
      </c>
      <c r="AJ620" s="2">
        <v>44935</v>
      </c>
    </row>
    <row r="621" spans="1:36">
      <c r="A621" s="1" t="str">
        <f>"Z7D396F025"</f>
        <v>Z7D396F025</v>
      </c>
      <c r="B621" s="1" t="str">
        <f t="shared" si="19"/>
        <v>02406911202</v>
      </c>
      <c r="C621" s="1" t="s">
        <v>13</v>
      </c>
      <c r="D621" s="1" t="s">
        <v>1253</v>
      </c>
      <c r="E621" s="1" t="s">
        <v>1254</v>
      </c>
      <c r="F621" s="1" t="s">
        <v>49</v>
      </c>
      <c r="G621" s="1" t="str">
        <f>"00674840152"</f>
        <v>00674840152</v>
      </c>
      <c r="I621" s="1" t="s">
        <v>190</v>
      </c>
      <c r="L621" s="1" t="s">
        <v>44</v>
      </c>
      <c r="M621" s="1" t="s">
        <v>1255</v>
      </c>
      <c r="AG621" s="1" t="s">
        <v>1341</v>
      </c>
      <c r="AH621" s="2">
        <v>44936</v>
      </c>
      <c r="AI621" s="2">
        <v>45291</v>
      </c>
      <c r="AJ621" s="2">
        <v>44936</v>
      </c>
    </row>
    <row r="622" spans="1:36">
      <c r="A622" s="1" t="str">
        <f>"ZCF397C37A"</f>
        <v>ZCF397C37A</v>
      </c>
      <c r="B622" s="1" t="str">
        <f t="shared" si="19"/>
        <v>02406911202</v>
      </c>
      <c r="C622" s="1" t="s">
        <v>13</v>
      </c>
      <c r="D622" s="1" t="s">
        <v>1253</v>
      </c>
      <c r="E622" s="1" t="s">
        <v>1254</v>
      </c>
      <c r="F622" s="1" t="s">
        <v>49</v>
      </c>
      <c r="G622" s="1" t="str">
        <f>"00691781207"</f>
        <v>00691781207</v>
      </c>
      <c r="I622" s="1" t="s">
        <v>704</v>
      </c>
      <c r="L622" s="1" t="s">
        <v>44</v>
      </c>
      <c r="M622" s="1" t="s">
        <v>1255</v>
      </c>
      <c r="AG622" s="1" t="s">
        <v>1342</v>
      </c>
      <c r="AH622" s="2">
        <v>44938</v>
      </c>
      <c r="AI622" s="2">
        <v>45291</v>
      </c>
      <c r="AJ622" s="2">
        <v>44938</v>
      </c>
    </row>
    <row r="623" spans="1:36">
      <c r="A623" s="1" t="str">
        <f>"ZDA397D912"</f>
        <v>ZDA397D912</v>
      </c>
      <c r="B623" s="1" t="str">
        <f t="shared" si="19"/>
        <v>02406911202</v>
      </c>
      <c r="C623" s="1" t="s">
        <v>13</v>
      </c>
      <c r="D623" s="1" t="s">
        <v>1312</v>
      </c>
      <c r="E623" s="1" t="s">
        <v>1343</v>
      </c>
      <c r="F623" s="1" t="s">
        <v>49</v>
      </c>
      <c r="G623" s="1" t="str">
        <f>"02479470599"</f>
        <v>02479470599</v>
      </c>
      <c r="I623" s="1" t="s">
        <v>1344</v>
      </c>
      <c r="L623" s="1" t="s">
        <v>44</v>
      </c>
      <c r="M623" s="1" t="s">
        <v>1314</v>
      </c>
      <c r="AG623" s="1" t="s">
        <v>1345</v>
      </c>
      <c r="AH623" s="2">
        <v>44939</v>
      </c>
      <c r="AI623" s="2">
        <v>46022</v>
      </c>
      <c r="AJ623" s="2">
        <v>44939</v>
      </c>
    </row>
    <row r="624" spans="1:36">
      <c r="A624" s="1" t="str">
        <f>"ZBD397E8C9"</f>
        <v>ZBD397E8C9</v>
      </c>
      <c r="B624" s="1" t="str">
        <f t="shared" si="19"/>
        <v>02406911202</v>
      </c>
      <c r="C624" s="1" t="s">
        <v>13</v>
      </c>
      <c r="D624" s="1" t="s">
        <v>1257</v>
      </c>
      <c r="E624" s="1" t="s">
        <v>1346</v>
      </c>
      <c r="F624" s="1" t="s">
        <v>49</v>
      </c>
      <c r="G624" s="1" t="str">
        <f>"02405801206"</f>
        <v>02405801206</v>
      </c>
      <c r="I624" s="1" t="s">
        <v>1347</v>
      </c>
      <c r="L624" s="1" t="s">
        <v>44</v>
      </c>
      <c r="M624" s="1" t="s">
        <v>946</v>
      </c>
      <c r="AG624" s="1" t="s">
        <v>1348</v>
      </c>
      <c r="AH624" s="2">
        <v>44939</v>
      </c>
      <c r="AI624" s="2">
        <v>45291</v>
      </c>
      <c r="AJ624" s="2">
        <v>44939</v>
      </c>
    </row>
    <row r="625" spans="1:36">
      <c r="A625" s="1" t="str">
        <f>"Z02397C808"</f>
        <v>Z02397C808</v>
      </c>
      <c r="B625" s="1" t="str">
        <f t="shared" si="19"/>
        <v>02406911202</v>
      </c>
      <c r="C625" s="1" t="s">
        <v>13</v>
      </c>
      <c r="D625" s="1" t="s">
        <v>1253</v>
      </c>
      <c r="E625" s="1" t="s">
        <v>1317</v>
      </c>
      <c r="F625" s="1" t="s">
        <v>49</v>
      </c>
      <c r="G625" s="1" t="str">
        <f>"08082461008"</f>
        <v>08082461008</v>
      </c>
      <c r="I625" s="1" t="s">
        <v>423</v>
      </c>
      <c r="L625" s="1" t="s">
        <v>44</v>
      </c>
      <c r="M625" s="1" t="s">
        <v>1255</v>
      </c>
      <c r="AG625" s="1" t="s">
        <v>1349</v>
      </c>
      <c r="AH625" s="2">
        <v>44939</v>
      </c>
      <c r="AI625" s="2">
        <v>45291</v>
      </c>
      <c r="AJ625" s="2">
        <v>44939</v>
      </c>
    </row>
    <row r="626" spans="1:36">
      <c r="A626" s="1" t="str">
        <f>"Z8C397F512"</f>
        <v>Z8C397F512</v>
      </c>
      <c r="B626" s="1" t="str">
        <f t="shared" si="19"/>
        <v>02406911202</v>
      </c>
      <c r="C626" s="1" t="s">
        <v>13</v>
      </c>
      <c r="D626" s="1" t="s">
        <v>1253</v>
      </c>
      <c r="E626" s="1" t="s">
        <v>1260</v>
      </c>
      <c r="F626" s="1" t="s">
        <v>49</v>
      </c>
      <c r="G626" s="1" t="str">
        <f>"04289840268"</f>
        <v>04289840268</v>
      </c>
      <c r="I626" s="1" t="s">
        <v>1296</v>
      </c>
      <c r="L626" s="1" t="s">
        <v>44</v>
      </c>
      <c r="M626" s="1" t="s">
        <v>1255</v>
      </c>
      <c r="AG626" s="1" t="s">
        <v>1350</v>
      </c>
      <c r="AH626" s="2">
        <v>44939</v>
      </c>
      <c r="AI626" s="2">
        <v>45291</v>
      </c>
      <c r="AJ626" s="2">
        <v>44939</v>
      </c>
    </row>
    <row r="627" spans="1:36">
      <c r="A627" s="1" t="str">
        <f>"ZD0397F4C5"</f>
        <v>ZD0397F4C5</v>
      </c>
      <c r="B627" s="1" t="str">
        <f t="shared" si="19"/>
        <v>02406911202</v>
      </c>
      <c r="C627" s="1" t="s">
        <v>13</v>
      </c>
      <c r="D627" s="1" t="s">
        <v>1253</v>
      </c>
      <c r="E627" s="1" t="s">
        <v>1254</v>
      </c>
      <c r="F627" s="1" t="s">
        <v>49</v>
      </c>
      <c r="G627" s="1" t="str">
        <f>"06032681006"</f>
        <v>06032681006</v>
      </c>
      <c r="I627" s="1" t="s">
        <v>1351</v>
      </c>
      <c r="L627" s="1" t="s">
        <v>44</v>
      </c>
      <c r="M627" s="1" t="s">
        <v>1255</v>
      </c>
      <c r="AG627" s="1" t="s">
        <v>1352</v>
      </c>
      <c r="AH627" s="2">
        <v>44939</v>
      </c>
      <c r="AI627" s="2">
        <v>45291</v>
      </c>
      <c r="AJ627" s="2">
        <v>44939</v>
      </c>
    </row>
    <row r="628" spans="1:36">
      <c r="A628" s="1" t="str">
        <f>"Z3D39810CD"</f>
        <v>Z3D39810CD</v>
      </c>
      <c r="B628" s="1" t="str">
        <f t="shared" si="19"/>
        <v>02406911202</v>
      </c>
      <c r="C628" s="1" t="s">
        <v>13</v>
      </c>
      <c r="D628" s="1" t="s">
        <v>1257</v>
      </c>
      <c r="E628" s="1" t="s">
        <v>1353</v>
      </c>
      <c r="F628" s="1" t="s">
        <v>49</v>
      </c>
      <c r="G628" s="1" t="str">
        <f>"01164270199"</f>
        <v>01164270199</v>
      </c>
      <c r="I628" s="1" t="s">
        <v>1354</v>
      </c>
      <c r="L628" s="1" t="s">
        <v>44</v>
      </c>
      <c r="M628" s="1" t="s">
        <v>946</v>
      </c>
      <c r="AG628" s="1" t="s">
        <v>1355</v>
      </c>
      <c r="AH628" s="2">
        <v>44939</v>
      </c>
      <c r="AI628" s="2">
        <v>45291</v>
      </c>
      <c r="AJ628" s="2">
        <v>44939</v>
      </c>
    </row>
    <row r="629" spans="1:36">
      <c r="A629" s="1" t="str">
        <f>"Z8639811D9"</f>
        <v>Z8639811D9</v>
      </c>
      <c r="B629" s="1" t="str">
        <f t="shared" si="19"/>
        <v>02406911202</v>
      </c>
      <c r="C629" s="1" t="s">
        <v>13</v>
      </c>
      <c r="D629" s="1" t="s">
        <v>1257</v>
      </c>
      <c r="E629" s="1" t="s">
        <v>1356</v>
      </c>
      <c r="F629" s="1" t="s">
        <v>49</v>
      </c>
      <c r="G629" s="1" t="str">
        <f>"09058160152"</f>
        <v>09058160152</v>
      </c>
      <c r="I629" s="1" t="s">
        <v>1357</v>
      </c>
      <c r="L629" s="1" t="s">
        <v>44</v>
      </c>
      <c r="M629" s="1" t="s">
        <v>509</v>
      </c>
      <c r="AG629" s="1" t="s">
        <v>1358</v>
      </c>
      <c r="AH629" s="2">
        <v>44939</v>
      </c>
      <c r="AI629" s="2">
        <v>45291</v>
      </c>
      <c r="AJ629" s="2">
        <v>44939</v>
      </c>
    </row>
    <row r="630" spans="1:36">
      <c r="A630" s="1" t="str">
        <f>"Z9E3982AF2"</f>
        <v>Z9E3982AF2</v>
      </c>
      <c r="B630" s="1" t="str">
        <f t="shared" si="19"/>
        <v>02406911202</v>
      </c>
      <c r="C630" s="1" t="s">
        <v>13</v>
      </c>
      <c r="D630" s="1" t="s">
        <v>1312</v>
      </c>
      <c r="E630" s="1" t="s">
        <v>1359</v>
      </c>
      <c r="F630" s="1" t="s">
        <v>49</v>
      </c>
      <c r="G630" s="1" t="str">
        <f>"01067490050"</f>
        <v>01067490050</v>
      </c>
      <c r="I630" s="1" t="s">
        <v>1274</v>
      </c>
      <c r="L630" s="1" t="s">
        <v>44</v>
      </c>
      <c r="M630" s="1" t="s">
        <v>1314</v>
      </c>
      <c r="AG630" s="1" t="s">
        <v>1360</v>
      </c>
      <c r="AH630" s="2">
        <v>44942</v>
      </c>
      <c r="AI630" s="2">
        <v>46022</v>
      </c>
      <c r="AJ630" s="2">
        <v>44942</v>
      </c>
    </row>
    <row r="631" spans="1:36">
      <c r="A631" s="1" t="str">
        <f>"Z6B3981365"</f>
        <v>Z6B3981365</v>
      </c>
      <c r="B631" s="1" t="str">
        <f t="shared" si="19"/>
        <v>02406911202</v>
      </c>
      <c r="C631" s="1" t="s">
        <v>13</v>
      </c>
      <c r="D631" s="1" t="s">
        <v>1253</v>
      </c>
      <c r="E631" s="1" t="s">
        <v>1361</v>
      </c>
      <c r="F631" s="1" t="s">
        <v>49</v>
      </c>
      <c r="G631" s="1" t="str">
        <f>"00696360155"</f>
        <v>00696360155</v>
      </c>
      <c r="I631" s="1" t="s">
        <v>1362</v>
      </c>
      <c r="L631" s="1" t="s">
        <v>44</v>
      </c>
      <c r="M631" s="1" t="s">
        <v>1255</v>
      </c>
      <c r="AG631" s="1" t="s">
        <v>1363</v>
      </c>
      <c r="AH631" s="2">
        <v>44942</v>
      </c>
      <c r="AI631" s="2">
        <v>45291</v>
      </c>
      <c r="AJ631" s="2">
        <v>44942</v>
      </c>
    </row>
    <row r="632" spans="1:36">
      <c r="A632" s="1" t="str">
        <f>"Z45397421E"</f>
        <v>Z45397421E</v>
      </c>
      <c r="B632" s="1" t="str">
        <f t="shared" si="19"/>
        <v>02406911202</v>
      </c>
      <c r="C632" s="1" t="s">
        <v>13</v>
      </c>
      <c r="D632" s="1" t="s">
        <v>1257</v>
      </c>
      <c r="E632" s="1" t="s">
        <v>1364</v>
      </c>
      <c r="F632" s="1" t="s">
        <v>49</v>
      </c>
      <c r="G632" s="1" t="str">
        <f>"05067060011"</f>
        <v>05067060011</v>
      </c>
      <c r="I632" s="1" t="s">
        <v>1365</v>
      </c>
      <c r="L632" s="1" t="s">
        <v>44</v>
      </c>
      <c r="M632" s="1" t="s">
        <v>103</v>
      </c>
      <c r="AG632" s="1" t="s">
        <v>1366</v>
      </c>
      <c r="AH632" s="2">
        <v>44937</v>
      </c>
      <c r="AI632" s="2">
        <v>45291</v>
      </c>
      <c r="AJ632" s="2">
        <v>44937</v>
      </c>
    </row>
    <row r="633" spans="1:36">
      <c r="A633" s="1" t="str">
        <f>"Z2D3974283"</f>
        <v>Z2D3974283</v>
      </c>
      <c r="B633" s="1" t="str">
        <f t="shared" si="19"/>
        <v>02406911202</v>
      </c>
      <c r="C633" s="1" t="s">
        <v>13</v>
      </c>
      <c r="D633" s="1" t="s">
        <v>1257</v>
      </c>
      <c r="E633" s="1" t="s">
        <v>1367</v>
      </c>
      <c r="F633" s="1" t="s">
        <v>49</v>
      </c>
      <c r="G633" s="1" t="str">
        <f>"02148950344"</f>
        <v>02148950344</v>
      </c>
      <c r="I633" s="1" t="s">
        <v>1368</v>
      </c>
      <c r="L633" s="1" t="s">
        <v>44</v>
      </c>
      <c r="M633" s="1" t="s">
        <v>103</v>
      </c>
      <c r="AG633" s="1" t="s">
        <v>75</v>
      </c>
      <c r="AH633" s="2">
        <v>44937</v>
      </c>
      <c r="AI633" s="2">
        <v>45291</v>
      </c>
      <c r="AJ633" s="2">
        <v>44937</v>
      </c>
    </row>
    <row r="634" spans="1:36">
      <c r="A634" s="1" t="str">
        <f>"Z57397430C"</f>
        <v>Z57397430C</v>
      </c>
      <c r="B634" s="1" t="str">
        <f t="shared" si="19"/>
        <v>02406911202</v>
      </c>
      <c r="C634" s="1" t="s">
        <v>13</v>
      </c>
      <c r="D634" s="1" t="s">
        <v>1253</v>
      </c>
      <c r="E634" s="1" t="s">
        <v>1317</v>
      </c>
      <c r="F634" s="1" t="s">
        <v>49</v>
      </c>
      <c r="G634" s="1" t="str">
        <f>"02217770235"</f>
        <v>02217770235</v>
      </c>
      <c r="I634" s="1" t="s">
        <v>1369</v>
      </c>
      <c r="L634" s="1" t="s">
        <v>44</v>
      </c>
      <c r="M634" s="1" t="s">
        <v>1255</v>
      </c>
      <c r="AG634" s="1" t="s">
        <v>74</v>
      </c>
      <c r="AH634" s="2">
        <v>44937</v>
      </c>
      <c r="AI634" s="2">
        <v>45291</v>
      </c>
      <c r="AJ634" s="2">
        <v>44937</v>
      </c>
    </row>
    <row r="635" spans="1:36">
      <c r="A635" s="1" t="str">
        <f>"Z1B397C7E8"</f>
        <v>Z1B397C7E8</v>
      </c>
      <c r="B635" s="1" t="str">
        <f t="shared" si="19"/>
        <v>02406911202</v>
      </c>
      <c r="C635" s="1" t="s">
        <v>13</v>
      </c>
      <c r="D635" s="1" t="s">
        <v>1253</v>
      </c>
      <c r="E635" s="1" t="s">
        <v>1317</v>
      </c>
      <c r="F635" s="1" t="s">
        <v>49</v>
      </c>
      <c r="G635" s="1" t="str">
        <f>"11160660152"</f>
        <v>11160660152</v>
      </c>
      <c r="I635" s="1" t="s">
        <v>306</v>
      </c>
      <c r="L635" s="1" t="s">
        <v>44</v>
      </c>
      <c r="M635" s="1" t="s">
        <v>1255</v>
      </c>
      <c r="AG635" s="1" t="s">
        <v>81</v>
      </c>
      <c r="AH635" s="2">
        <v>44939</v>
      </c>
      <c r="AI635" s="2">
        <v>45291</v>
      </c>
      <c r="AJ635" s="2">
        <v>44939</v>
      </c>
    </row>
    <row r="636" spans="1:36">
      <c r="A636" s="1" t="str">
        <f>"95955366CD"</f>
        <v>95955366CD</v>
      </c>
      <c r="B636" s="1" t="str">
        <f t="shared" si="19"/>
        <v>02406911202</v>
      </c>
      <c r="C636" s="1" t="s">
        <v>13</v>
      </c>
      <c r="D636" s="1" t="s">
        <v>37</v>
      </c>
      <c r="E636" s="1" t="s">
        <v>1370</v>
      </c>
      <c r="F636" s="1" t="s">
        <v>39</v>
      </c>
      <c r="G636" s="1" t="str">
        <f>"11264670156"</f>
        <v>11264670156</v>
      </c>
      <c r="I636" s="1" t="s">
        <v>64</v>
      </c>
      <c r="L636" s="1" t="s">
        <v>44</v>
      </c>
      <c r="M636" s="1" t="s">
        <v>66</v>
      </c>
      <c r="AG636" s="1" t="s">
        <v>124</v>
      </c>
      <c r="AH636" s="2">
        <v>44941</v>
      </c>
      <c r="AI636" s="2">
        <v>45183</v>
      </c>
      <c r="AJ636" s="2">
        <v>44941</v>
      </c>
    </row>
    <row r="637" spans="1:36">
      <c r="A637" s="1" t="str">
        <f>"95976420BC"</f>
        <v>95976420BC</v>
      </c>
      <c r="B637" s="1" t="str">
        <f t="shared" si="19"/>
        <v>02406911202</v>
      </c>
      <c r="C637" s="1" t="s">
        <v>13</v>
      </c>
      <c r="D637" s="1" t="s">
        <v>37</v>
      </c>
      <c r="E637" s="1" t="s">
        <v>1370</v>
      </c>
      <c r="F637" s="1" t="s">
        <v>39</v>
      </c>
      <c r="G637" s="1" t="str">
        <f>"00803890151"</f>
        <v>00803890151</v>
      </c>
      <c r="I637" s="1" t="s">
        <v>68</v>
      </c>
      <c r="L637" s="1" t="s">
        <v>44</v>
      </c>
      <c r="M637" s="1" t="s">
        <v>70</v>
      </c>
      <c r="AG637" s="1" t="s">
        <v>1371</v>
      </c>
      <c r="AH637" s="2">
        <v>44941</v>
      </c>
      <c r="AI637" s="2">
        <v>45183</v>
      </c>
      <c r="AJ637" s="2">
        <v>44941</v>
      </c>
    </row>
    <row r="638" spans="1:36">
      <c r="A638" s="1" t="str">
        <f>"95976929FC"</f>
        <v>95976929FC</v>
      </c>
      <c r="B638" s="1" t="str">
        <f t="shared" si="19"/>
        <v>02406911202</v>
      </c>
      <c r="C638" s="1" t="s">
        <v>13</v>
      </c>
      <c r="D638" s="1" t="s">
        <v>37</v>
      </c>
      <c r="E638" s="1" t="s">
        <v>1370</v>
      </c>
      <c r="F638" s="1" t="s">
        <v>39</v>
      </c>
      <c r="G638" s="1" t="str">
        <f>"09158150962"</f>
        <v>09158150962</v>
      </c>
      <c r="I638" s="1" t="s">
        <v>72</v>
      </c>
      <c r="L638" s="1" t="s">
        <v>44</v>
      </c>
      <c r="M638" s="1" t="s">
        <v>74</v>
      </c>
      <c r="AG638" s="1" t="s">
        <v>124</v>
      </c>
      <c r="AH638" s="2">
        <v>44941</v>
      </c>
      <c r="AI638" s="2">
        <v>45183</v>
      </c>
      <c r="AJ638" s="2">
        <v>44941</v>
      </c>
    </row>
    <row r="639" spans="1:36">
      <c r="A639" s="1" t="str">
        <f>"Z6E398123E"</f>
        <v>Z6E398123E</v>
      </c>
      <c r="B639" s="1" t="str">
        <f t="shared" si="19"/>
        <v>02406911202</v>
      </c>
      <c r="C639" s="1" t="s">
        <v>13</v>
      </c>
      <c r="D639" s="1" t="s">
        <v>1257</v>
      </c>
      <c r="E639" s="1" t="s">
        <v>1372</v>
      </c>
      <c r="F639" s="1" t="s">
        <v>49</v>
      </c>
      <c r="G639" s="1" t="str">
        <f>"00640800280"</f>
        <v>00640800280</v>
      </c>
      <c r="I639" s="1" t="s">
        <v>1373</v>
      </c>
      <c r="L639" s="1" t="s">
        <v>44</v>
      </c>
      <c r="M639" s="1" t="s">
        <v>103</v>
      </c>
      <c r="AG639" s="1" t="s">
        <v>1374</v>
      </c>
      <c r="AH639" s="2">
        <v>44939</v>
      </c>
      <c r="AI639" s="2">
        <v>45291</v>
      </c>
      <c r="AJ639" s="2">
        <v>44939</v>
      </c>
    </row>
    <row r="640" spans="1:36">
      <c r="A640" s="1" t="str">
        <f>"Z1E3955A1E"</f>
        <v>Z1E3955A1E</v>
      </c>
      <c r="B640" s="1" t="str">
        <f t="shared" si="19"/>
        <v>02406911202</v>
      </c>
      <c r="C640" s="1" t="s">
        <v>13</v>
      </c>
      <c r="D640" s="1" t="s">
        <v>1253</v>
      </c>
      <c r="E640" s="1" t="s">
        <v>1270</v>
      </c>
      <c r="F640" s="1" t="s">
        <v>49</v>
      </c>
      <c r="G640" s="1" t="str">
        <f>"10220860158"</f>
        <v>10220860158</v>
      </c>
      <c r="I640" s="1" t="s">
        <v>1375</v>
      </c>
      <c r="L640" s="1" t="s">
        <v>44</v>
      </c>
      <c r="M640" s="1" t="s">
        <v>1255</v>
      </c>
      <c r="AG640" s="1" t="s">
        <v>1376</v>
      </c>
      <c r="AH640" s="2">
        <v>44927</v>
      </c>
      <c r="AI640" s="2">
        <v>45291</v>
      </c>
      <c r="AJ640" s="2">
        <v>44927</v>
      </c>
    </row>
    <row r="641" spans="1:36">
      <c r="A641" s="1" t="str">
        <f>"Z843961A54"</f>
        <v>Z843961A54</v>
      </c>
      <c r="B641" s="1" t="str">
        <f t="shared" si="19"/>
        <v>02406911202</v>
      </c>
      <c r="C641" s="1" t="s">
        <v>13</v>
      </c>
      <c r="D641" s="1" t="s">
        <v>1257</v>
      </c>
      <c r="E641" s="1" t="s">
        <v>1377</v>
      </c>
      <c r="F641" s="1" t="s">
        <v>49</v>
      </c>
      <c r="G641" s="1" t="str">
        <f>"11575580151"</f>
        <v>11575580151</v>
      </c>
      <c r="I641" s="1" t="s">
        <v>290</v>
      </c>
      <c r="L641" s="1" t="s">
        <v>44</v>
      </c>
      <c r="M641" s="1" t="s">
        <v>103</v>
      </c>
      <c r="AG641" s="1" t="s">
        <v>1378</v>
      </c>
      <c r="AH641" s="2">
        <v>44929</v>
      </c>
      <c r="AI641" s="2">
        <v>45291</v>
      </c>
      <c r="AJ641" s="2">
        <v>44929</v>
      </c>
    </row>
    <row r="642" spans="1:36">
      <c r="A642" s="1" t="str">
        <f>"Z093961C79"</f>
        <v>Z093961C79</v>
      </c>
      <c r="B642" s="1" t="str">
        <f t="shared" si="19"/>
        <v>02406911202</v>
      </c>
      <c r="C642" s="1" t="s">
        <v>13</v>
      </c>
      <c r="D642" s="1" t="s">
        <v>1257</v>
      </c>
      <c r="E642" s="1" t="s">
        <v>1379</v>
      </c>
      <c r="F642" s="1" t="s">
        <v>49</v>
      </c>
      <c r="G642" s="1" t="str">
        <f>"03712440969"</f>
        <v>03712440969</v>
      </c>
      <c r="I642" s="1" t="s">
        <v>1380</v>
      </c>
      <c r="L642" s="1" t="s">
        <v>44</v>
      </c>
      <c r="M642" s="1" t="s">
        <v>103</v>
      </c>
      <c r="AG642" s="1" t="s">
        <v>1381</v>
      </c>
      <c r="AH642" s="2">
        <v>44929</v>
      </c>
      <c r="AI642" s="2">
        <v>45291</v>
      </c>
      <c r="AJ642" s="2">
        <v>44929</v>
      </c>
    </row>
    <row r="643" spans="1:36">
      <c r="A643" s="1" t="str">
        <f>"9583643065"</f>
        <v>9583643065</v>
      </c>
      <c r="B643" s="1" t="str">
        <f t="shared" si="19"/>
        <v>02406911202</v>
      </c>
      <c r="C643" s="1" t="s">
        <v>13</v>
      </c>
      <c r="D643" s="1" t="s">
        <v>37</v>
      </c>
      <c r="E643" s="1" t="s">
        <v>1382</v>
      </c>
      <c r="F643" s="1" t="s">
        <v>39</v>
      </c>
      <c r="G643" s="1" t="str">
        <f>"03663500969"</f>
        <v>03663500969</v>
      </c>
      <c r="I643" s="1" t="s">
        <v>1383</v>
      </c>
      <c r="L643" s="1" t="s">
        <v>44</v>
      </c>
      <c r="M643" s="1" t="s">
        <v>1384</v>
      </c>
      <c r="AG643" s="1" t="s">
        <v>1385</v>
      </c>
      <c r="AH643" s="2">
        <v>44929</v>
      </c>
      <c r="AI643" s="2">
        <v>45291</v>
      </c>
      <c r="AJ643" s="2">
        <v>44929</v>
      </c>
    </row>
    <row r="644" spans="1:36">
      <c r="A644" s="1" t="str">
        <f>"Z1B3967A8C"</f>
        <v>Z1B3967A8C</v>
      </c>
      <c r="B644" s="1" t="str">
        <f t="shared" si="19"/>
        <v>02406911202</v>
      </c>
      <c r="C644" s="1" t="s">
        <v>13</v>
      </c>
      <c r="D644" s="1" t="s">
        <v>1253</v>
      </c>
      <c r="E644" s="1" t="s">
        <v>1254</v>
      </c>
      <c r="F644" s="1" t="s">
        <v>49</v>
      </c>
      <c r="G644" s="1" t="str">
        <f>"02790240101"</f>
        <v>02790240101</v>
      </c>
      <c r="I644" s="1" t="s">
        <v>275</v>
      </c>
      <c r="L644" s="1" t="s">
        <v>44</v>
      </c>
      <c r="M644" s="1" t="s">
        <v>1255</v>
      </c>
      <c r="AG644" s="1" t="s">
        <v>1386</v>
      </c>
      <c r="AH644" s="2">
        <v>44931</v>
      </c>
      <c r="AI644" s="2">
        <v>45291</v>
      </c>
      <c r="AJ644" s="2">
        <v>44931</v>
      </c>
    </row>
    <row r="645" spans="1:36">
      <c r="A645" s="1" t="str">
        <f>"ZE93968207"</f>
        <v>ZE93968207</v>
      </c>
      <c r="B645" s="1" t="str">
        <f t="shared" si="19"/>
        <v>02406911202</v>
      </c>
      <c r="C645" s="1" t="s">
        <v>13</v>
      </c>
      <c r="D645" s="1" t="s">
        <v>1253</v>
      </c>
      <c r="E645" s="1" t="s">
        <v>1387</v>
      </c>
      <c r="F645" s="1" t="s">
        <v>49</v>
      </c>
      <c r="G645" s="1" t="str">
        <f>"01423300183"</f>
        <v>01423300183</v>
      </c>
      <c r="I645" s="1" t="s">
        <v>1388</v>
      </c>
      <c r="L645" s="1" t="s">
        <v>44</v>
      </c>
      <c r="M645" s="1" t="s">
        <v>1255</v>
      </c>
      <c r="AG645" s="1" t="s">
        <v>1389</v>
      </c>
      <c r="AH645" s="2">
        <v>44931</v>
      </c>
      <c r="AI645" s="2">
        <v>45291</v>
      </c>
      <c r="AJ645" s="2">
        <v>44931</v>
      </c>
    </row>
    <row r="646" spans="1:36">
      <c r="A646" s="1" t="str">
        <f>"Z0E396AA07"</f>
        <v>Z0E396AA07</v>
      </c>
      <c r="B646" s="1" t="str">
        <f t="shared" ref="B646:B709" si="20">"02406911202"</f>
        <v>02406911202</v>
      </c>
      <c r="C646" s="1" t="s">
        <v>13</v>
      </c>
      <c r="D646" s="1" t="s">
        <v>1312</v>
      </c>
      <c r="E646" s="1" t="s">
        <v>1390</v>
      </c>
      <c r="F646" s="1" t="s">
        <v>49</v>
      </c>
      <c r="G646" s="1" t="str">
        <f>"00549731206"</f>
        <v>00549731206</v>
      </c>
      <c r="I646" s="1" t="s">
        <v>1391</v>
      </c>
      <c r="L646" s="1" t="s">
        <v>44</v>
      </c>
      <c r="M646" s="1" t="s">
        <v>1314</v>
      </c>
      <c r="AG646" s="1" t="s">
        <v>1392</v>
      </c>
      <c r="AH646" s="2">
        <v>44935</v>
      </c>
      <c r="AI646" s="2">
        <v>46022</v>
      </c>
      <c r="AJ646" s="2">
        <v>44935</v>
      </c>
    </row>
    <row r="647" spans="1:36">
      <c r="A647" s="1" t="str">
        <f>"Z18396ADB4"</f>
        <v>Z18396ADB4</v>
      </c>
      <c r="B647" s="1" t="str">
        <f t="shared" si="20"/>
        <v>02406911202</v>
      </c>
      <c r="C647" s="1" t="s">
        <v>13</v>
      </c>
      <c r="D647" s="1" t="s">
        <v>1253</v>
      </c>
      <c r="E647" s="1" t="s">
        <v>1270</v>
      </c>
      <c r="F647" s="1" t="s">
        <v>49</v>
      </c>
      <c r="G647" s="1" t="str">
        <f>"12864800151"</f>
        <v>12864800151</v>
      </c>
      <c r="I647" s="1" t="s">
        <v>1393</v>
      </c>
      <c r="L647" s="1" t="s">
        <v>44</v>
      </c>
      <c r="M647" s="1" t="s">
        <v>1255</v>
      </c>
      <c r="AG647" s="1" t="s">
        <v>1394</v>
      </c>
      <c r="AH647" s="2">
        <v>44935</v>
      </c>
      <c r="AI647" s="2">
        <v>45291</v>
      </c>
      <c r="AJ647" s="2">
        <v>44935</v>
      </c>
    </row>
    <row r="648" spans="1:36">
      <c r="A648" s="1" t="str">
        <f>"ZE6396F3EF"</f>
        <v>ZE6396F3EF</v>
      </c>
      <c r="B648" s="1" t="str">
        <f t="shared" si="20"/>
        <v>02406911202</v>
      </c>
      <c r="C648" s="1" t="s">
        <v>13</v>
      </c>
      <c r="D648" s="1" t="s">
        <v>1257</v>
      </c>
      <c r="E648" s="1" t="s">
        <v>1395</v>
      </c>
      <c r="F648" s="1" t="s">
        <v>49</v>
      </c>
      <c r="G648" s="1" t="str">
        <f>"03831290287"</f>
        <v>03831290287</v>
      </c>
      <c r="I648" s="1" t="s">
        <v>1396</v>
      </c>
      <c r="L648" s="1" t="s">
        <v>44</v>
      </c>
      <c r="M648" s="1" t="s">
        <v>1397</v>
      </c>
      <c r="AG648" s="1" t="s">
        <v>1398</v>
      </c>
      <c r="AH648" s="2">
        <v>44936</v>
      </c>
      <c r="AI648" s="2">
        <v>45291</v>
      </c>
      <c r="AJ648" s="2">
        <v>44936</v>
      </c>
    </row>
    <row r="649" spans="1:36">
      <c r="A649" s="1" t="str">
        <f>"Z69396F48F"</f>
        <v>Z69396F48F</v>
      </c>
      <c r="B649" s="1" t="str">
        <f t="shared" si="20"/>
        <v>02406911202</v>
      </c>
      <c r="C649" s="1" t="s">
        <v>13</v>
      </c>
      <c r="D649" s="1" t="s">
        <v>1253</v>
      </c>
      <c r="E649" s="1" t="s">
        <v>1399</v>
      </c>
      <c r="F649" s="1" t="s">
        <v>49</v>
      </c>
      <c r="G649" s="1" t="str">
        <f>"00457930428"</f>
        <v>00457930428</v>
      </c>
      <c r="I649" s="1" t="s">
        <v>1400</v>
      </c>
      <c r="L649" s="1" t="s">
        <v>44</v>
      </c>
      <c r="M649" s="1" t="s">
        <v>1255</v>
      </c>
      <c r="AG649" s="1" t="s">
        <v>1401</v>
      </c>
      <c r="AH649" s="2">
        <v>44936</v>
      </c>
      <c r="AI649" s="2">
        <v>45291</v>
      </c>
      <c r="AJ649" s="2">
        <v>44936</v>
      </c>
    </row>
    <row r="650" spans="1:36">
      <c r="A650" s="1" t="str">
        <f>"Z9F396F563"</f>
        <v>Z9F396F563</v>
      </c>
      <c r="B650" s="1" t="str">
        <f t="shared" si="20"/>
        <v>02406911202</v>
      </c>
      <c r="C650" s="1" t="s">
        <v>13</v>
      </c>
      <c r="D650" s="1" t="s">
        <v>1253</v>
      </c>
      <c r="E650" s="1" t="s">
        <v>1254</v>
      </c>
      <c r="F650" s="1" t="s">
        <v>49</v>
      </c>
      <c r="G650" s="1" t="str">
        <f>"00691781207"</f>
        <v>00691781207</v>
      </c>
      <c r="I650" s="1" t="s">
        <v>704</v>
      </c>
      <c r="L650" s="1" t="s">
        <v>44</v>
      </c>
      <c r="M650" s="1" t="s">
        <v>1255</v>
      </c>
      <c r="AG650" s="1" t="s">
        <v>1402</v>
      </c>
      <c r="AH650" s="2">
        <v>44936</v>
      </c>
      <c r="AI650" s="2">
        <v>45291</v>
      </c>
      <c r="AJ650" s="2">
        <v>44936</v>
      </c>
    </row>
    <row r="651" spans="1:36">
      <c r="A651" s="1" t="str">
        <f>"Z0E39710FA"</f>
        <v>Z0E39710FA</v>
      </c>
      <c r="B651" s="1" t="str">
        <f t="shared" si="20"/>
        <v>02406911202</v>
      </c>
      <c r="C651" s="1" t="s">
        <v>13</v>
      </c>
      <c r="D651" s="1" t="s">
        <v>1253</v>
      </c>
      <c r="E651" s="1" t="s">
        <v>1254</v>
      </c>
      <c r="F651" s="1" t="s">
        <v>1403</v>
      </c>
      <c r="G651" s="1" t="str">
        <f>"11160660152"</f>
        <v>11160660152</v>
      </c>
      <c r="I651" s="1" t="s">
        <v>306</v>
      </c>
      <c r="L651" s="1" t="s">
        <v>44</v>
      </c>
      <c r="M651" s="1" t="s">
        <v>1255</v>
      </c>
      <c r="AG651" s="1" t="s">
        <v>81</v>
      </c>
      <c r="AH651" s="2">
        <v>44936</v>
      </c>
      <c r="AI651" s="2">
        <v>45291</v>
      </c>
      <c r="AJ651" s="2">
        <v>44936</v>
      </c>
    </row>
    <row r="652" spans="1:36">
      <c r="A652" s="1" t="str">
        <f>"ZA93971E52"</f>
        <v>ZA93971E52</v>
      </c>
      <c r="B652" s="1" t="str">
        <f t="shared" si="20"/>
        <v>02406911202</v>
      </c>
      <c r="C652" s="1" t="s">
        <v>13</v>
      </c>
      <c r="D652" s="1" t="s">
        <v>1257</v>
      </c>
      <c r="E652" s="1" t="s">
        <v>1404</v>
      </c>
      <c r="F652" s="1" t="s">
        <v>49</v>
      </c>
      <c r="G652" s="1" t="str">
        <f>"02373581202"</f>
        <v>02373581202</v>
      </c>
      <c r="I652" s="1" t="s">
        <v>1405</v>
      </c>
      <c r="L652" s="1" t="s">
        <v>44</v>
      </c>
      <c r="M652" s="1" t="s">
        <v>103</v>
      </c>
      <c r="AG652" s="1" t="s">
        <v>1406</v>
      </c>
      <c r="AH652" s="2">
        <v>44936</v>
      </c>
      <c r="AI652" s="2">
        <v>45291</v>
      </c>
      <c r="AJ652" s="2">
        <v>44936</v>
      </c>
    </row>
    <row r="653" spans="1:36">
      <c r="A653" s="1" t="str">
        <f>"ZCB39741F5"</f>
        <v>ZCB39741F5</v>
      </c>
      <c r="B653" s="1" t="str">
        <f t="shared" si="20"/>
        <v>02406911202</v>
      </c>
      <c r="C653" s="1" t="s">
        <v>13</v>
      </c>
      <c r="D653" s="1" t="s">
        <v>1257</v>
      </c>
      <c r="E653" s="1" t="s">
        <v>1407</v>
      </c>
      <c r="F653" s="1" t="s">
        <v>49</v>
      </c>
      <c r="G653" s="1" t="str">
        <f>"02221310044"</f>
        <v>02221310044</v>
      </c>
      <c r="I653" s="1" t="s">
        <v>223</v>
      </c>
      <c r="L653" s="1" t="s">
        <v>44</v>
      </c>
      <c r="M653" s="1" t="s">
        <v>103</v>
      </c>
      <c r="AG653" s="1" t="s">
        <v>94</v>
      </c>
      <c r="AH653" s="2">
        <v>44937</v>
      </c>
      <c r="AI653" s="2">
        <v>45291</v>
      </c>
      <c r="AJ653" s="2">
        <v>44937</v>
      </c>
    </row>
    <row r="654" spans="1:36">
      <c r="A654" s="1" t="str">
        <f>"ZC5397424D"</f>
        <v>ZC5397424D</v>
      </c>
      <c r="B654" s="1" t="str">
        <f t="shared" si="20"/>
        <v>02406911202</v>
      </c>
      <c r="C654" s="1" t="s">
        <v>13</v>
      </c>
      <c r="D654" s="1" t="s">
        <v>1257</v>
      </c>
      <c r="E654" s="1" t="s">
        <v>1408</v>
      </c>
      <c r="F654" s="1" t="s">
        <v>49</v>
      </c>
      <c r="G654" s="1" t="str">
        <f>"05673940630"</f>
        <v>05673940630</v>
      </c>
      <c r="I654" s="1" t="s">
        <v>1409</v>
      </c>
      <c r="L654" s="1" t="s">
        <v>44</v>
      </c>
      <c r="M654" s="1" t="s">
        <v>103</v>
      </c>
      <c r="AG654" s="1" t="s">
        <v>1410</v>
      </c>
      <c r="AH654" s="2">
        <v>44937</v>
      </c>
      <c r="AI654" s="2">
        <v>45291</v>
      </c>
      <c r="AJ654" s="2">
        <v>44937</v>
      </c>
    </row>
    <row r="655" spans="1:36">
      <c r="A655" s="1" t="str">
        <f>"Z473975644"</f>
        <v>Z473975644</v>
      </c>
      <c r="B655" s="1" t="str">
        <f t="shared" si="20"/>
        <v>02406911202</v>
      </c>
      <c r="C655" s="1" t="s">
        <v>13</v>
      </c>
      <c r="D655" s="1" t="s">
        <v>1253</v>
      </c>
      <c r="E655" s="1" t="s">
        <v>1387</v>
      </c>
      <c r="F655" s="1" t="s">
        <v>49</v>
      </c>
      <c r="G655" s="1" t="str">
        <f>"13948081008"</f>
        <v>13948081008</v>
      </c>
      <c r="I655" s="1" t="s">
        <v>1411</v>
      </c>
      <c r="L655" s="1" t="s">
        <v>44</v>
      </c>
      <c r="M655" s="1" t="s">
        <v>1255</v>
      </c>
      <c r="AG655" s="1" t="s">
        <v>1412</v>
      </c>
      <c r="AH655" s="2">
        <v>44937</v>
      </c>
      <c r="AI655" s="2">
        <v>45291</v>
      </c>
      <c r="AJ655" s="2">
        <v>44937</v>
      </c>
    </row>
    <row r="656" spans="1:36">
      <c r="A656" s="1" t="str">
        <f>"Z6A3974344"</f>
        <v>Z6A3974344</v>
      </c>
      <c r="B656" s="1" t="str">
        <f t="shared" si="20"/>
        <v>02406911202</v>
      </c>
      <c r="C656" s="1" t="s">
        <v>13</v>
      </c>
      <c r="D656" s="1" t="s">
        <v>1253</v>
      </c>
      <c r="E656" s="1" t="s">
        <v>1317</v>
      </c>
      <c r="F656" s="1" t="s">
        <v>49</v>
      </c>
      <c r="G656" s="1" t="str">
        <f>"05896100962"</f>
        <v>05896100962</v>
      </c>
      <c r="I656" s="1" t="s">
        <v>1413</v>
      </c>
      <c r="L656" s="1" t="s">
        <v>44</v>
      </c>
      <c r="M656" s="1" t="s">
        <v>1255</v>
      </c>
      <c r="AG656" s="1" t="s">
        <v>1414</v>
      </c>
      <c r="AH656" s="2">
        <v>44937</v>
      </c>
      <c r="AI656" s="2">
        <v>45291</v>
      </c>
      <c r="AJ656" s="2">
        <v>44937</v>
      </c>
    </row>
    <row r="657" spans="1:36">
      <c r="A657" s="1" t="str">
        <f>"Z403975D34"</f>
        <v>Z403975D34</v>
      </c>
      <c r="B657" s="1" t="str">
        <f t="shared" si="20"/>
        <v>02406911202</v>
      </c>
      <c r="C657" s="1" t="s">
        <v>13</v>
      </c>
      <c r="D657" s="1" t="s">
        <v>1257</v>
      </c>
      <c r="E657" s="1" t="s">
        <v>1415</v>
      </c>
      <c r="F657" s="1" t="s">
        <v>49</v>
      </c>
      <c r="G657" s="1" t="str">
        <f>"01481230389"</f>
        <v>01481230389</v>
      </c>
      <c r="I657" s="1" t="s">
        <v>1416</v>
      </c>
      <c r="L657" s="1" t="s">
        <v>44</v>
      </c>
      <c r="M657" s="1" t="s">
        <v>103</v>
      </c>
      <c r="AG657" s="1" t="s">
        <v>1417</v>
      </c>
      <c r="AH657" s="2">
        <v>44937</v>
      </c>
      <c r="AI657" s="2">
        <v>45291</v>
      </c>
      <c r="AJ657" s="2">
        <v>44937</v>
      </c>
    </row>
    <row r="658" spans="1:36">
      <c r="A658" s="1" t="str">
        <f>"Z4A396213F"</f>
        <v>Z4A396213F</v>
      </c>
      <c r="B658" s="1" t="str">
        <f t="shared" si="20"/>
        <v>02406911202</v>
      </c>
      <c r="C658" s="1" t="s">
        <v>13</v>
      </c>
      <c r="D658" s="1" t="s">
        <v>1257</v>
      </c>
      <c r="E658" s="1" t="s">
        <v>1418</v>
      </c>
      <c r="F658" s="1" t="s">
        <v>49</v>
      </c>
      <c r="G658" s="1" t="str">
        <f>"01013500523"</f>
        <v>01013500523</v>
      </c>
      <c r="I658" s="1" t="s">
        <v>1419</v>
      </c>
      <c r="L658" s="1" t="s">
        <v>44</v>
      </c>
      <c r="M658" s="1" t="s">
        <v>103</v>
      </c>
      <c r="AG658" s="1" t="s">
        <v>1420</v>
      </c>
      <c r="AH658" s="2">
        <v>44929</v>
      </c>
      <c r="AI658" s="2">
        <v>45291</v>
      </c>
      <c r="AJ658" s="2">
        <v>44929</v>
      </c>
    </row>
    <row r="659" spans="1:36">
      <c r="A659" s="1" t="str">
        <f>"Z9839621AE"</f>
        <v>Z9839621AE</v>
      </c>
      <c r="B659" s="1" t="str">
        <f t="shared" si="20"/>
        <v>02406911202</v>
      </c>
      <c r="C659" s="1" t="s">
        <v>13</v>
      </c>
      <c r="D659" s="1" t="s">
        <v>1257</v>
      </c>
      <c r="E659" s="1" t="s">
        <v>1421</v>
      </c>
      <c r="F659" s="1" t="s">
        <v>49</v>
      </c>
      <c r="G659" s="1" t="str">
        <f>"02267810964"</f>
        <v>02267810964</v>
      </c>
      <c r="I659" s="1" t="s">
        <v>1422</v>
      </c>
      <c r="L659" s="1" t="s">
        <v>44</v>
      </c>
      <c r="M659" s="1" t="s">
        <v>103</v>
      </c>
      <c r="AG659" s="1" t="s">
        <v>1423</v>
      </c>
      <c r="AH659" s="2">
        <v>44929</v>
      </c>
      <c r="AI659" s="2">
        <v>45291</v>
      </c>
      <c r="AJ659" s="2">
        <v>44929</v>
      </c>
    </row>
    <row r="660" spans="1:36">
      <c r="A660" s="1" t="str">
        <f>"Z553962436"</f>
        <v>Z553962436</v>
      </c>
      <c r="B660" s="1" t="str">
        <f t="shared" si="20"/>
        <v>02406911202</v>
      </c>
      <c r="C660" s="1" t="s">
        <v>13</v>
      </c>
      <c r="D660" s="1" t="s">
        <v>1312</v>
      </c>
      <c r="E660" s="1" t="s">
        <v>1424</v>
      </c>
      <c r="F660" s="1" t="s">
        <v>49</v>
      </c>
      <c r="G660" s="1" t="str">
        <f>"01228210371"</f>
        <v>01228210371</v>
      </c>
      <c r="I660" s="1" t="s">
        <v>1425</v>
      </c>
      <c r="L660" s="1" t="s">
        <v>44</v>
      </c>
      <c r="M660" s="1" t="s">
        <v>1314</v>
      </c>
      <c r="AG660" s="1" t="s">
        <v>1426</v>
      </c>
      <c r="AH660" s="2">
        <v>44929</v>
      </c>
      <c r="AI660" s="2">
        <v>46022</v>
      </c>
      <c r="AJ660" s="2">
        <v>44929</v>
      </c>
    </row>
    <row r="661" spans="1:36">
      <c r="A661" s="1" t="str">
        <f>"Z02396226E"</f>
        <v>Z02396226E</v>
      </c>
      <c r="B661" s="1" t="str">
        <f t="shared" si="20"/>
        <v>02406911202</v>
      </c>
      <c r="C661" s="1" t="s">
        <v>13</v>
      </c>
      <c r="D661" s="1" t="s">
        <v>1257</v>
      </c>
      <c r="E661" s="1" t="s">
        <v>1427</v>
      </c>
      <c r="F661" s="1" t="s">
        <v>49</v>
      </c>
      <c r="G661" s="1" t="str">
        <f>"01228210371"</f>
        <v>01228210371</v>
      </c>
      <c r="I661" s="1" t="s">
        <v>1425</v>
      </c>
      <c r="L661" s="1" t="s">
        <v>44</v>
      </c>
      <c r="M661" s="1" t="s">
        <v>103</v>
      </c>
      <c r="AG661" s="1" t="s">
        <v>405</v>
      </c>
      <c r="AH661" s="2">
        <v>44929</v>
      </c>
      <c r="AI661" s="2">
        <v>45291</v>
      </c>
      <c r="AJ661" s="2">
        <v>44929</v>
      </c>
    </row>
    <row r="662" spans="1:36">
      <c r="A662" s="1" t="str">
        <f>"Z0E39622B9"</f>
        <v>Z0E39622B9</v>
      </c>
      <c r="B662" s="1" t="str">
        <f t="shared" si="20"/>
        <v>02406911202</v>
      </c>
      <c r="C662" s="1" t="s">
        <v>13</v>
      </c>
      <c r="D662" s="1" t="s">
        <v>1257</v>
      </c>
      <c r="E662" s="1" t="s">
        <v>1428</v>
      </c>
      <c r="F662" s="1" t="s">
        <v>49</v>
      </c>
      <c r="G662" s="1" t="str">
        <f>"02704520341"</f>
        <v>02704520341</v>
      </c>
      <c r="I662" s="1" t="s">
        <v>1429</v>
      </c>
      <c r="L662" s="1" t="s">
        <v>44</v>
      </c>
      <c r="M662" s="1" t="s">
        <v>103</v>
      </c>
      <c r="AG662" s="1" t="s">
        <v>1430</v>
      </c>
      <c r="AH662" s="2">
        <v>44929</v>
      </c>
      <c r="AI662" s="2">
        <v>45291</v>
      </c>
      <c r="AJ662" s="2">
        <v>44929</v>
      </c>
    </row>
    <row r="663" spans="1:36">
      <c r="A663" s="1" t="str">
        <f>"Z5B39622E3"</f>
        <v>Z5B39622E3</v>
      </c>
      <c r="B663" s="1" t="str">
        <f t="shared" si="20"/>
        <v>02406911202</v>
      </c>
      <c r="C663" s="1" t="s">
        <v>13</v>
      </c>
      <c r="D663" s="1" t="s">
        <v>1257</v>
      </c>
      <c r="E663" s="1" t="s">
        <v>1431</v>
      </c>
      <c r="F663" s="1" t="s">
        <v>49</v>
      </c>
      <c r="G663" s="1" t="str">
        <f>"01657920151"</f>
        <v>01657920151</v>
      </c>
      <c r="I663" s="1" t="s">
        <v>1432</v>
      </c>
      <c r="L663" s="1" t="s">
        <v>44</v>
      </c>
      <c r="M663" s="1" t="s">
        <v>103</v>
      </c>
      <c r="AG663" s="1" t="s">
        <v>1433</v>
      </c>
      <c r="AH663" s="2">
        <v>44929</v>
      </c>
      <c r="AI663" s="2">
        <v>45291</v>
      </c>
      <c r="AJ663" s="2">
        <v>44929</v>
      </c>
    </row>
    <row r="664" spans="1:36">
      <c r="A664" s="1" t="str">
        <f>"Z6239619FD"</f>
        <v>Z6239619FD</v>
      </c>
      <c r="B664" s="1" t="str">
        <f t="shared" si="20"/>
        <v>02406911202</v>
      </c>
      <c r="C664" s="1" t="s">
        <v>13</v>
      </c>
      <c r="D664" s="1" t="s">
        <v>1257</v>
      </c>
      <c r="E664" s="1" t="s">
        <v>1434</v>
      </c>
      <c r="F664" s="1" t="s">
        <v>49</v>
      </c>
      <c r="G664" s="1" t="str">
        <f>"04156880371"</f>
        <v>04156880371</v>
      </c>
      <c r="I664" s="1" t="s">
        <v>1307</v>
      </c>
      <c r="L664" s="1" t="s">
        <v>44</v>
      </c>
      <c r="M664" s="1" t="s">
        <v>1397</v>
      </c>
      <c r="AG664" s="1" t="s">
        <v>1435</v>
      </c>
      <c r="AH664" s="2">
        <v>44929</v>
      </c>
      <c r="AI664" s="2">
        <v>45291</v>
      </c>
      <c r="AJ664" s="2">
        <v>44929</v>
      </c>
    </row>
    <row r="665" spans="1:36">
      <c r="A665" s="1" t="str">
        <f>"Z8E3961A15"</f>
        <v>Z8E3961A15</v>
      </c>
      <c r="B665" s="1" t="str">
        <f t="shared" si="20"/>
        <v>02406911202</v>
      </c>
      <c r="C665" s="1" t="s">
        <v>13</v>
      </c>
      <c r="D665" s="1" t="s">
        <v>1257</v>
      </c>
      <c r="E665" s="1" t="s">
        <v>1436</v>
      </c>
      <c r="F665" s="1" t="s">
        <v>49</v>
      </c>
      <c r="G665" s="1" t="str">
        <f>"00311560692"</f>
        <v>00311560692</v>
      </c>
      <c r="I665" s="1" t="s">
        <v>1437</v>
      </c>
      <c r="L665" s="1" t="s">
        <v>44</v>
      </c>
      <c r="M665" s="1" t="s">
        <v>946</v>
      </c>
      <c r="AG665" s="1" t="s">
        <v>1438</v>
      </c>
      <c r="AH665" s="2">
        <v>44929</v>
      </c>
      <c r="AI665" s="2">
        <v>45291</v>
      </c>
      <c r="AJ665" s="2">
        <v>44929</v>
      </c>
    </row>
    <row r="666" spans="1:36">
      <c r="A666" s="1" t="str">
        <f>"Z633963B98"</f>
        <v>Z633963B98</v>
      </c>
      <c r="B666" s="1" t="str">
        <f t="shared" si="20"/>
        <v>02406911202</v>
      </c>
      <c r="C666" s="1" t="s">
        <v>13</v>
      </c>
      <c r="D666" s="1" t="s">
        <v>1257</v>
      </c>
      <c r="E666" s="1" t="s">
        <v>1439</v>
      </c>
      <c r="F666" s="1" t="s">
        <v>49</v>
      </c>
      <c r="G666" s="1" t="str">
        <f>"01453290098"</f>
        <v>01453290098</v>
      </c>
      <c r="I666" s="1" t="s">
        <v>1440</v>
      </c>
      <c r="L666" s="1" t="s">
        <v>44</v>
      </c>
      <c r="M666" s="1" t="s">
        <v>103</v>
      </c>
      <c r="AG666" s="1" t="s">
        <v>1441</v>
      </c>
      <c r="AH666" s="2">
        <v>44929</v>
      </c>
      <c r="AI666" s="2">
        <v>45291</v>
      </c>
      <c r="AJ666" s="2">
        <v>44929</v>
      </c>
    </row>
    <row r="667" spans="1:36">
      <c r="A667" s="1" t="str">
        <f>"Z243963E39"</f>
        <v>Z243963E39</v>
      </c>
      <c r="B667" s="1" t="str">
        <f t="shared" si="20"/>
        <v>02406911202</v>
      </c>
      <c r="C667" s="1" t="s">
        <v>13</v>
      </c>
      <c r="D667" s="1" t="s">
        <v>1257</v>
      </c>
      <c r="E667" s="1" t="s">
        <v>1442</v>
      </c>
      <c r="F667" s="1" t="s">
        <v>49</v>
      </c>
      <c r="G667" s="1" t="str">
        <f>"01244670335"</f>
        <v>01244670335</v>
      </c>
      <c r="I667" s="1" t="s">
        <v>1443</v>
      </c>
      <c r="L667" s="1" t="s">
        <v>44</v>
      </c>
      <c r="M667" s="1" t="s">
        <v>103</v>
      </c>
      <c r="AG667" s="1" t="s">
        <v>1444</v>
      </c>
      <c r="AH667" s="2">
        <v>44929</v>
      </c>
      <c r="AI667" s="2">
        <v>45291</v>
      </c>
      <c r="AJ667" s="2">
        <v>44929</v>
      </c>
    </row>
    <row r="668" spans="1:36">
      <c r="A668" s="1" t="str">
        <f>"93383076B7"</f>
        <v>93383076B7</v>
      </c>
      <c r="B668" s="1" t="str">
        <f t="shared" si="20"/>
        <v>02406911202</v>
      </c>
      <c r="C668" s="1" t="s">
        <v>13</v>
      </c>
      <c r="D668" s="1" t="s">
        <v>37</v>
      </c>
      <c r="E668" s="1" t="s">
        <v>1445</v>
      </c>
      <c r="F668" s="1" t="s">
        <v>39</v>
      </c>
      <c r="G668" s="1" t="str">
        <f>"03240560403"</f>
        <v>03240560403</v>
      </c>
      <c r="I668" s="1" t="s">
        <v>1446</v>
      </c>
      <c r="L668" s="1" t="s">
        <v>44</v>
      </c>
      <c r="M668" s="1" t="s">
        <v>1447</v>
      </c>
      <c r="AG668" s="1" t="s">
        <v>1448</v>
      </c>
      <c r="AH668" s="2">
        <v>44927</v>
      </c>
      <c r="AI668" s="2">
        <v>45838</v>
      </c>
      <c r="AJ668" s="2">
        <v>44927</v>
      </c>
    </row>
    <row r="669" spans="1:36">
      <c r="A669" s="1" t="str">
        <f>"Z8E39651F8"</f>
        <v>Z8E39651F8</v>
      </c>
      <c r="B669" s="1" t="str">
        <f t="shared" si="20"/>
        <v>02406911202</v>
      </c>
      <c r="C669" s="1" t="s">
        <v>13</v>
      </c>
      <c r="D669" s="1" t="s">
        <v>1257</v>
      </c>
      <c r="E669" s="1" t="s">
        <v>1449</v>
      </c>
      <c r="F669" s="1" t="s">
        <v>49</v>
      </c>
      <c r="G669" s="1" t="str">
        <f>"05025030288"</f>
        <v>05025030288</v>
      </c>
      <c r="I669" s="1" t="s">
        <v>1450</v>
      </c>
      <c r="L669" s="1" t="s">
        <v>44</v>
      </c>
      <c r="M669" s="1" t="s">
        <v>103</v>
      </c>
      <c r="AG669" s="1" t="s">
        <v>1451</v>
      </c>
      <c r="AH669" s="2">
        <v>44930</v>
      </c>
      <c r="AI669" s="2">
        <v>45291</v>
      </c>
      <c r="AJ669" s="2">
        <v>44930</v>
      </c>
    </row>
    <row r="670" spans="1:36">
      <c r="A670" s="1" t="str">
        <f>"Z973978A39"</f>
        <v>Z973978A39</v>
      </c>
      <c r="B670" s="1" t="str">
        <f t="shared" si="20"/>
        <v>02406911202</v>
      </c>
      <c r="C670" s="1" t="s">
        <v>13</v>
      </c>
      <c r="D670" s="1" t="s">
        <v>1257</v>
      </c>
      <c r="E670" s="1" t="s">
        <v>1452</v>
      </c>
      <c r="F670" s="1" t="s">
        <v>49</v>
      </c>
      <c r="G670" s="1" t="str">
        <f>"00615700374"</f>
        <v>00615700374</v>
      </c>
      <c r="I670" s="1" t="s">
        <v>1453</v>
      </c>
      <c r="L670" s="1" t="s">
        <v>44</v>
      </c>
      <c r="M670" s="1" t="s">
        <v>103</v>
      </c>
      <c r="AG670" s="1" t="s">
        <v>1454</v>
      </c>
      <c r="AH670" s="2">
        <v>44938</v>
      </c>
      <c r="AI670" s="2">
        <v>45291</v>
      </c>
      <c r="AJ670" s="2">
        <v>44938</v>
      </c>
    </row>
    <row r="671" spans="1:36">
      <c r="A671" s="1" t="str">
        <f>"ZB93978A90"</f>
        <v>ZB93978A90</v>
      </c>
      <c r="B671" s="1" t="str">
        <f t="shared" si="20"/>
        <v>02406911202</v>
      </c>
      <c r="C671" s="1" t="s">
        <v>13</v>
      </c>
      <c r="D671" s="1" t="s">
        <v>1257</v>
      </c>
      <c r="E671" s="1" t="s">
        <v>1455</v>
      </c>
      <c r="F671" s="1" t="s">
        <v>49</v>
      </c>
      <c r="G671" s="1" t="str">
        <f>"03524050238"</f>
        <v>03524050238</v>
      </c>
      <c r="I671" s="1" t="s">
        <v>593</v>
      </c>
      <c r="L671" s="1" t="s">
        <v>44</v>
      </c>
      <c r="M671" s="1" t="s">
        <v>103</v>
      </c>
      <c r="AG671" s="1" t="s">
        <v>1456</v>
      </c>
      <c r="AH671" s="2">
        <v>44938</v>
      </c>
      <c r="AI671" s="2">
        <v>45291</v>
      </c>
      <c r="AJ671" s="2">
        <v>44938</v>
      </c>
    </row>
    <row r="672" spans="1:36">
      <c r="A672" s="1" t="str">
        <f>"Z973979116"</f>
        <v>Z973979116</v>
      </c>
      <c r="B672" s="1" t="str">
        <f t="shared" si="20"/>
        <v>02406911202</v>
      </c>
      <c r="C672" s="1" t="s">
        <v>13</v>
      </c>
      <c r="D672" s="1" t="s">
        <v>1312</v>
      </c>
      <c r="E672" s="1" t="s">
        <v>1457</v>
      </c>
      <c r="F672" s="1" t="s">
        <v>49</v>
      </c>
      <c r="G672" s="1" t="str">
        <f>"02372680187"</f>
        <v>02372680187</v>
      </c>
      <c r="I672" s="1" t="s">
        <v>1458</v>
      </c>
      <c r="L672" s="1" t="s">
        <v>44</v>
      </c>
      <c r="M672" s="1" t="s">
        <v>1314</v>
      </c>
      <c r="AG672" s="1" t="s">
        <v>1459</v>
      </c>
      <c r="AH672" s="2">
        <v>44938</v>
      </c>
      <c r="AI672" s="2">
        <v>45291</v>
      </c>
      <c r="AJ672" s="2">
        <v>44938</v>
      </c>
    </row>
    <row r="673" spans="1:36">
      <c r="A673" s="1" t="str">
        <f>"Z493979493"</f>
        <v>Z493979493</v>
      </c>
      <c r="B673" s="1" t="str">
        <f t="shared" si="20"/>
        <v>02406911202</v>
      </c>
      <c r="C673" s="1" t="s">
        <v>13</v>
      </c>
      <c r="D673" s="1" t="s">
        <v>1253</v>
      </c>
      <c r="E673" s="1" t="s">
        <v>1262</v>
      </c>
      <c r="F673" s="1" t="s">
        <v>49</v>
      </c>
      <c r="G673" s="1" t="str">
        <f>"03542760172"</f>
        <v>03542760172</v>
      </c>
      <c r="I673" s="1" t="s">
        <v>1460</v>
      </c>
      <c r="L673" s="1" t="s">
        <v>44</v>
      </c>
      <c r="M673" s="1" t="s">
        <v>1255</v>
      </c>
      <c r="AG673" s="1" t="s">
        <v>1461</v>
      </c>
      <c r="AH673" s="2">
        <v>44938</v>
      </c>
      <c r="AI673" s="2">
        <v>45291</v>
      </c>
      <c r="AJ673" s="2">
        <v>44938</v>
      </c>
    </row>
    <row r="674" spans="1:36">
      <c r="A674" s="1" t="str">
        <f>"Z1039799CD"</f>
        <v>Z1039799CD</v>
      </c>
      <c r="B674" s="1" t="str">
        <f t="shared" si="20"/>
        <v>02406911202</v>
      </c>
      <c r="C674" s="1" t="s">
        <v>13</v>
      </c>
      <c r="D674" s="1" t="s">
        <v>1253</v>
      </c>
      <c r="E674" s="1" t="s">
        <v>1270</v>
      </c>
      <c r="F674" s="1" t="s">
        <v>49</v>
      </c>
      <c r="G674" s="1" t="str">
        <f>"11467381007"</f>
        <v>11467381007</v>
      </c>
      <c r="I674" s="1" t="s">
        <v>1462</v>
      </c>
      <c r="L674" s="1" t="s">
        <v>44</v>
      </c>
      <c r="M674" s="1" t="s">
        <v>1255</v>
      </c>
      <c r="AG674" s="1" t="s">
        <v>1463</v>
      </c>
      <c r="AH674" s="2">
        <v>44938</v>
      </c>
      <c r="AI674" s="2">
        <v>45291</v>
      </c>
      <c r="AJ674" s="2">
        <v>44938</v>
      </c>
    </row>
    <row r="675" spans="1:36">
      <c r="A675" s="1" t="str">
        <f>"9589398D8E"</f>
        <v>9589398D8E</v>
      </c>
      <c r="B675" s="1" t="str">
        <f t="shared" si="20"/>
        <v>02406911202</v>
      </c>
      <c r="C675" s="1" t="s">
        <v>13</v>
      </c>
      <c r="D675" s="1" t="s">
        <v>37</v>
      </c>
      <c r="E675" s="1" t="s">
        <v>1464</v>
      </c>
      <c r="F675" s="1" t="s">
        <v>39</v>
      </c>
      <c r="G675" s="1" t="str">
        <f>"07620470018"</f>
        <v>07620470018</v>
      </c>
      <c r="I675" s="1" t="s">
        <v>1465</v>
      </c>
      <c r="L675" s="1" t="s">
        <v>44</v>
      </c>
      <c r="M675" s="1" t="s">
        <v>1466</v>
      </c>
      <c r="AG675" s="1" t="s">
        <v>1467</v>
      </c>
      <c r="AH675" s="2">
        <v>44942</v>
      </c>
      <c r="AI675" s="2">
        <v>45672</v>
      </c>
      <c r="AJ675" s="2">
        <v>44942</v>
      </c>
    </row>
    <row r="676" spans="1:36">
      <c r="A676" s="1" t="str">
        <f>"Z37397AB2D"</f>
        <v>Z37397AB2D</v>
      </c>
      <c r="B676" s="1" t="str">
        <f t="shared" si="20"/>
        <v>02406911202</v>
      </c>
      <c r="C676" s="1" t="s">
        <v>13</v>
      </c>
      <c r="D676" s="1" t="s">
        <v>1253</v>
      </c>
      <c r="E676" s="1" t="s">
        <v>1262</v>
      </c>
      <c r="F676" s="1" t="s">
        <v>49</v>
      </c>
      <c r="G676" s="1" t="str">
        <f>"11654150157"</f>
        <v>11654150157</v>
      </c>
      <c r="I676" s="1" t="s">
        <v>1468</v>
      </c>
      <c r="L676" s="1" t="s">
        <v>44</v>
      </c>
      <c r="M676" s="1" t="s">
        <v>1255</v>
      </c>
      <c r="AG676" s="1" t="s">
        <v>1469</v>
      </c>
      <c r="AH676" s="2">
        <v>44938</v>
      </c>
      <c r="AI676" s="2">
        <v>45291</v>
      </c>
      <c r="AJ676" s="2">
        <v>44938</v>
      </c>
    </row>
    <row r="677" spans="1:36">
      <c r="A677" s="1" t="str">
        <f>"ZD0397AF28"</f>
        <v>ZD0397AF28</v>
      </c>
      <c r="B677" s="1" t="str">
        <f t="shared" si="20"/>
        <v>02406911202</v>
      </c>
      <c r="C677" s="1" t="s">
        <v>13</v>
      </c>
      <c r="D677" s="1" t="s">
        <v>1253</v>
      </c>
      <c r="E677" s="1" t="s">
        <v>1254</v>
      </c>
      <c r="F677" s="1" t="s">
        <v>49</v>
      </c>
      <c r="G677" s="1" t="str">
        <f>"01630000287"</f>
        <v>01630000287</v>
      </c>
      <c r="I677" s="1" t="s">
        <v>1470</v>
      </c>
      <c r="L677" s="1" t="s">
        <v>44</v>
      </c>
      <c r="M677" s="1" t="s">
        <v>1255</v>
      </c>
      <c r="AG677" s="1" t="s">
        <v>1471</v>
      </c>
      <c r="AH677" s="2">
        <v>44938</v>
      </c>
      <c r="AI677" s="2">
        <v>45291</v>
      </c>
      <c r="AJ677" s="2">
        <v>44938</v>
      </c>
    </row>
    <row r="678" spans="1:36">
      <c r="A678" s="1" t="str">
        <f>"Z4B397B382"</f>
        <v>Z4B397B382</v>
      </c>
      <c r="B678" s="1" t="str">
        <f t="shared" si="20"/>
        <v>02406911202</v>
      </c>
      <c r="C678" s="1" t="s">
        <v>13</v>
      </c>
      <c r="D678" s="1" t="s">
        <v>1257</v>
      </c>
      <c r="E678" s="1" t="s">
        <v>1472</v>
      </c>
      <c r="F678" s="1" t="s">
        <v>49</v>
      </c>
      <c r="G678" s="1" t="str">
        <f>"02405040284"</f>
        <v>02405040284</v>
      </c>
      <c r="I678" s="1" t="s">
        <v>1473</v>
      </c>
      <c r="L678" s="1" t="s">
        <v>44</v>
      </c>
      <c r="M678" s="1" t="s">
        <v>103</v>
      </c>
      <c r="AG678" s="1" t="s">
        <v>1474</v>
      </c>
      <c r="AH678" s="2">
        <v>44938</v>
      </c>
      <c r="AI678" s="2">
        <v>45291</v>
      </c>
      <c r="AJ678" s="2">
        <v>44938</v>
      </c>
    </row>
    <row r="679" spans="1:36">
      <c r="A679" s="1" t="str">
        <f>"ZDD397C259"</f>
        <v>ZDD397C259</v>
      </c>
      <c r="B679" s="1" t="str">
        <f t="shared" si="20"/>
        <v>02406911202</v>
      </c>
      <c r="C679" s="1" t="s">
        <v>13</v>
      </c>
      <c r="D679" s="1" t="s">
        <v>1253</v>
      </c>
      <c r="E679" s="1" t="s">
        <v>1254</v>
      </c>
      <c r="F679" s="1" t="s">
        <v>49</v>
      </c>
      <c r="G679" s="1" t="str">
        <f>"05896100962"</f>
        <v>05896100962</v>
      </c>
      <c r="I679" s="1" t="s">
        <v>1413</v>
      </c>
      <c r="L679" s="1" t="s">
        <v>44</v>
      </c>
      <c r="M679" s="1" t="s">
        <v>1255</v>
      </c>
      <c r="AG679" s="1" t="s">
        <v>1475</v>
      </c>
      <c r="AH679" s="2">
        <v>44938</v>
      </c>
      <c r="AI679" s="2">
        <v>45291</v>
      </c>
      <c r="AJ679" s="2">
        <v>44938</v>
      </c>
    </row>
    <row r="680" spans="1:36">
      <c r="A680" s="1" t="str">
        <f>"Z75397C2C0"</f>
        <v>Z75397C2C0</v>
      </c>
      <c r="B680" s="1" t="str">
        <f t="shared" si="20"/>
        <v>02406911202</v>
      </c>
      <c r="C680" s="1" t="s">
        <v>13</v>
      </c>
      <c r="D680" s="1" t="s">
        <v>1257</v>
      </c>
      <c r="E680" s="1" t="s">
        <v>1476</v>
      </c>
      <c r="F680" s="1" t="s">
        <v>49</v>
      </c>
      <c r="G680" s="1" t="str">
        <f>"03356691208"</f>
        <v>03356691208</v>
      </c>
      <c r="I680" s="1" t="s">
        <v>1477</v>
      </c>
      <c r="L680" s="1" t="s">
        <v>44</v>
      </c>
      <c r="M680" s="1" t="s">
        <v>103</v>
      </c>
      <c r="AG680" s="1" t="s">
        <v>1478</v>
      </c>
      <c r="AH680" s="2">
        <v>44938</v>
      </c>
      <c r="AI680" s="2">
        <v>45291</v>
      </c>
      <c r="AJ680" s="2">
        <v>44938</v>
      </c>
    </row>
    <row r="681" spans="1:36">
      <c r="A681" s="1" t="str">
        <f>"Z41397D9FE"</f>
        <v>Z41397D9FE</v>
      </c>
      <c r="B681" s="1" t="str">
        <f t="shared" si="20"/>
        <v>02406911202</v>
      </c>
      <c r="C681" s="1" t="s">
        <v>13</v>
      </c>
      <c r="D681" s="1" t="s">
        <v>1253</v>
      </c>
      <c r="E681" s="1" t="s">
        <v>1254</v>
      </c>
      <c r="F681" s="1" t="s">
        <v>49</v>
      </c>
      <c r="G681" s="1" t="str">
        <f>"09734150155"</f>
        <v>09734150155</v>
      </c>
      <c r="I681" s="1" t="s">
        <v>1479</v>
      </c>
      <c r="L681" s="1" t="s">
        <v>44</v>
      </c>
      <c r="M681" s="1" t="s">
        <v>1255</v>
      </c>
      <c r="AG681" s="1" t="s">
        <v>1480</v>
      </c>
      <c r="AH681" s="2">
        <v>44939</v>
      </c>
      <c r="AI681" s="2">
        <v>45291</v>
      </c>
      <c r="AJ681" s="2">
        <v>44939</v>
      </c>
    </row>
    <row r="682" spans="1:36">
      <c r="A682" s="1" t="str">
        <f>"Z0B397DA25"</f>
        <v>Z0B397DA25</v>
      </c>
      <c r="B682" s="1" t="str">
        <f t="shared" si="20"/>
        <v>02406911202</v>
      </c>
      <c r="C682" s="1" t="s">
        <v>13</v>
      </c>
      <c r="D682" s="1" t="s">
        <v>1253</v>
      </c>
      <c r="E682" s="1" t="s">
        <v>1254</v>
      </c>
      <c r="F682" s="1" t="s">
        <v>49</v>
      </c>
      <c r="G682" s="1" t="str">
        <f>"01906320039"</f>
        <v>01906320039</v>
      </c>
      <c r="I682" s="1" t="s">
        <v>1481</v>
      </c>
      <c r="L682" s="1" t="s">
        <v>44</v>
      </c>
      <c r="M682" s="1" t="s">
        <v>1255</v>
      </c>
      <c r="AG682" s="1" t="s">
        <v>1482</v>
      </c>
      <c r="AH682" s="2">
        <v>44939</v>
      </c>
      <c r="AI682" s="2">
        <v>45291</v>
      </c>
      <c r="AJ682" s="2">
        <v>44939</v>
      </c>
    </row>
    <row r="683" spans="1:36">
      <c r="A683" s="1" t="str">
        <f>"Z8A397DC05"</f>
        <v>Z8A397DC05</v>
      </c>
      <c r="B683" s="1" t="str">
        <f t="shared" si="20"/>
        <v>02406911202</v>
      </c>
      <c r="C683" s="1" t="s">
        <v>13</v>
      </c>
      <c r="D683" s="1" t="s">
        <v>1257</v>
      </c>
      <c r="E683" s="1" t="s">
        <v>1483</v>
      </c>
      <c r="F683" s="1" t="s">
        <v>49</v>
      </c>
      <c r="G683" s="1" t="str">
        <f>"01284691001"</f>
        <v>01284691001</v>
      </c>
      <c r="I683" s="1" t="s">
        <v>1484</v>
      </c>
      <c r="L683" s="1" t="s">
        <v>44</v>
      </c>
      <c r="M683" s="1" t="s">
        <v>1485</v>
      </c>
      <c r="AG683" s="1" t="s">
        <v>1485</v>
      </c>
      <c r="AH683" s="2">
        <v>44939</v>
      </c>
      <c r="AI683" s="2">
        <v>44946</v>
      </c>
      <c r="AJ683" s="2">
        <v>44939</v>
      </c>
    </row>
    <row r="684" spans="1:36">
      <c r="A684" s="1" t="str">
        <f>"ZCA397E56D"</f>
        <v>ZCA397E56D</v>
      </c>
      <c r="B684" s="1" t="str">
        <f t="shared" si="20"/>
        <v>02406911202</v>
      </c>
      <c r="C684" s="1" t="s">
        <v>13</v>
      </c>
      <c r="D684" s="1" t="s">
        <v>1312</v>
      </c>
      <c r="E684" s="1" t="s">
        <v>1486</v>
      </c>
      <c r="F684" s="1" t="s">
        <v>49</v>
      </c>
      <c r="G684" s="1" t="str">
        <f>"01498810280"</f>
        <v>01498810280</v>
      </c>
      <c r="I684" s="1" t="s">
        <v>1487</v>
      </c>
      <c r="L684" s="1" t="s">
        <v>44</v>
      </c>
      <c r="M684" s="1" t="s">
        <v>1314</v>
      </c>
      <c r="AG684" s="1" t="s">
        <v>1488</v>
      </c>
      <c r="AH684" s="2">
        <v>44939</v>
      </c>
      <c r="AI684" s="2">
        <v>46022</v>
      </c>
      <c r="AJ684" s="2">
        <v>44939</v>
      </c>
    </row>
    <row r="685" spans="1:36">
      <c r="A685" s="1" t="str">
        <f>"Z60397E936"</f>
        <v>Z60397E936</v>
      </c>
      <c r="B685" s="1" t="str">
        <f t="shared" si="20"/>
        <v>02406911202</v>
      </c>
      <c r="C685" s="1" t="s">
        <v>13</v>
      </c>
      <c r="D685" s="1" t="s">
        <v>1257</v>
      </c>
      <c r="E685" s="1" t="s">
        <v>1489</v>
      </c>
      <c r="F685" s="1" t="s">
        <v>49</v>
      </c>
      <c r="G685" s="1" t="str">
        <f>"02236190233"</f>
        <v>02236190233</v>
      </c>
      <c r="I685" s="1" t="s">
        <v>1490</v>
      </c>
      <c r="L685" s="1" t="s">
        <v>44</v>
      </c>
      <c r="M685" s="1" t="s">
        <v>1491</v>
      </c>
      <c r="AG685" s="1" t="s">
        <v>1492</v>
      </c>
      <c r="AH685" s="2">
        <v>44939</v>
      </c>
      <c r="AI685" s="2">
        <v>45291</v>
      </c>
      <c r="AJ685" s="2">
        <v>44939</v>
      </c>
    </row>
    <row r="686" spans="1:36">
      <c r="A686" s="1" t="str">
        <f>"Z993966F68"</f>
        <v>Z993966F68</v>
      </c>
      <c r="B686" s="1" t="str">
        <f t="shared" si="20"/>
        <v>02406911202</v>
      </c>
      <c r="C686" s="1" t="s">
        <v>13</v>
      </c>
      <c r="D686" s="1" t="s">
        <v>1253</v>
      </c>
      <c r="E686" s="1" t="s">
        <v>1317</v>
      </c>
      <c r="F686" s="1" t="s">
        <v>49</v>
      </c>
      <c r="G686" s="1" t="str">
        <f>"03318780966"</f>
        <v>03318780966</v>
      </c>
      <c r="I686" s="1" t="s">
        <v>1493</v>
      </c>
      <c r="L686" s="1" t="s">
        <v>44</v>
      </c>
      <c r="M686" s="1" t="s">
        <v>1255</v>
      </c>
      <c r="AG686" s="1" t="s">
        <v>1494</v>
      </c>
      <c r="AH686" s="2">
        <v>44930</v>
      </c>
      <c r="AI686" s="2">
        <v>45291</v>
      </c>
      <c r="AJ686" s="2">
        <v>44930</v>
      </c>
    </row>
    <row r="687" spans="1:36">
      <c r="A687" s="1" t="str">
        <f>"ZC538F1DD3"</f>
        <v>ZC538F1DD3</v>
      </c>
      <c r="B687" s="1" t="str">
        <f t="shared" si="20"/>
        <v>02406911202</v>
      </c>
      <c r="C687" s="1" t="s">
        <v>13</v>
      </c>
      <c r="D687" s="1" t="s">
        <v>37</v>
      </c>
      <c r="E687" s="1" t="s">
        <v>1495</v>
      </c>
      <c r="F687" s="1" t="s">
        <v>117</v>
      </c>
      <c r="G687" s="1" t="str">
        <f>"00929440592"</f>
        <v>00929440592</v>
      </c>
      <c r="I687" s="1" t="s">
        <v>1290</v>
      </c>
      <c r="L687" s="1" t="s">
        <v>44</v>
      </c>
      <c r="M687" s="1" t="s">
        <v>1496</v>
      </c>
      <c r="AG687" s="1" t="s">
        <v>1496</v>
      </c>
      <c r="AH687" s="2">
        <v>44927</v>
      </c>
      <c r="AI687" s="2">
        <v>45291</v>
      </c>
      <c r="AJ687" s="2">
        <v>44927</v>
      </c>
    </row>
    <row r="688" spans="1:36">
      <c r="A688" s="1" t="str">
        <f>"Z9D397F0D4"</f>
        <v>Z9D397F0D4</v>
      </c>
      <c r="B688" s="1" t="str">
        <f t="shared" si="20"/>
        <v>02406911202</v>
      </c>
      <c r="C688" s="1" t="s">
        <v>13</v>
      </c>
      <c r="D688" s="1" t="s">
        <v>1257</v>
      </c>
      <c r="E688" s="1" t="s">
        <v>1497</v>
      </c>
      <c r="F688" s="1" t="s">
        <v>49</v>
      </c>
      <c r="G688" s="1" t="str">
        <f>"02084790340"</f>
        <v>02084790340</v>
      </c>
      <c r="I688" s="1" t="s">
        <v>1498</v>
      </c>
      <c r="L688" s="1" t="s">
        <v>44</v>
      </c>
      <c r="M688" s="1" t="s">
        <v>103</v>
      </c>
      <c r="AG688" s="1" t="s">
        <v>1499</v>
      </c>
      <c r="AH688" s="2">
        <v>44939</v>
      </c>
      <c r="AI688" s="2">
        <v>45291</v>
      </c>
      <c r="AJ688" s="2">
        <v>44939</v>
      </c>
    </row>
    <row r="689" spans="1:36">
      <c r="A689" s="1" t="str">
        <f>"Z15397F55A"</f>
        <v>Z15397F55A</v>
      </c>
      <c r="B689" s="1" t="str">
        <f t="shared" si="20"/>
        <v>02406911202</v>
      </c>
      <c r="C689" s="1" t="s">
        <v>13</v>
      </c>
      <c r="D689" s="1" t="s">
        <v>1312</v>
      </c>
      <c r="E689" s="1" t="s">
        <v>1500</v>
      </c>
      <c r="F689" s="1" t="s">
        <v>49</v>
      </c>
      <c r="G689" s="1" t="str">
        <f>"09328790150"</f>
        <v>09328790150</v>
      </c>
      <c r="I689" s="1" t="s">
        <v>1501</v>
      </c>
      <c r="L689" s="1" t="s">
        <v>44</v>
      </c>
      <c r="M689" s="1" t="s">
        <v>1314</v>
      </c>
      <c r="AG689" s="1" t="s">
        <v>1502</v>
      </c>
      <c r="AH689" s="2">
        <v>44939</v>
      </c>
      <c r="AI689" s="2">
        <v>46022</v>
      </c>
      <c r="AJ689" s="2">
        <v>44939</v>
      </c>
    </row>
    <row r="690" spans="1:36">
      <c r="A690" s="1" t="str">
        <f>"9597717E9C"</f>
        <v>9597717E9C</v>
      </c>
      <c r="B690" s="1" t="str">
        <f t="shared" si="20"/>
        <v>02406911202</v>
      </c>
      <c r="C690" s="1" t="s">
        <v>13</v>
      </c>
      <c r="D690" s="1" t="s">
        <v>37</v>
      </c>
      <c r="E690" s="1" t="s">
        <v>1370</v>
      </c>
      <c r="F690" s="1" t="s">
        <v>39</v>
      </c>
      <c r="G690" s="1" t="str">
        <f>"00847380961"</f>
        <v>00847380961</v>
      </c>
      <c r="I690" s="1" t="s">
        <v>1503</v>
      </c>
      <c r="L690" s="1" t="s">
        <v>44</v>
      </c>
      <c r="M690" s="1" t="s">
        <v>78</v>
      </c>
      <c r="AG690" s="1" t="s">
        <v>124</v>
      </c>
      <c r="AH690" s="2">
        <v>44941</v>
      </c>
      <c r="AI690" s="2">
        <v>45183</v>
      </c>
      <c r="AJ690" s="2">
        <v>44941</v>
      </c>
    </row>
    <row r="691" spans="1:36">
      <c r="A691" s="1" t="str">
        <f>"9597798178"</f>
        <v>9597798178</v>
      </c>
      <c r="B691" s="1" t="str">
        <f t="shared" si="20"/>
        <v>02406911202</v>
      </c>
      <c r="C691" s="1" t="s">
        <v>13</v>
      </c>
      <c r="D691" s="1" t="s">
        <v>37</v>
      </c>
      <c r="E691" s="1" t="s">
        <v>1370</v>
      </c>
      <c r="F691" s="1" t="s">
        <v>39</v>
      </c>
      <c r="G691" s="1" t="str">
        <f>"01736720994"</f>
        <v>01736720994</v>
      </c>
      <c r="I691" s="1" t="s">
        <v>80</v>
      </c>
      <c r="L691" s="1" t="s">
        <v>44</v>
      </c>
      <c r="M691" s="1" t="s">
        <v>82</v>
      </c>
      <c r="AG691" s="1" t="s">
        <v>124</v>
      </c>
      <c r="AH691" s="2">
        <v>44941</v>
      </c>
      <c r="AI691" s="2">
        <v>45183</v>
      </c>
      <c r="AJ691" s="2">
        <v>44941</v>
      </c>
    </row>
    <row r="692" spans="1:36">
      <c r="A692" s="1" t="str">
        <f>"959783827A"</f>
        <v>959783827A</v>
      </c>
      <c r="B692" s="1" t="str">
        <f t="shared" si="20"/>
        <v>02406911202</v>
      </c>
      <c r="C692" s="1" t="s">
        <v>13</v>
      </c>
      <c r="D692" s="1" t="s">
        <v>37</v>
      </c>
      <c r="E692" s="1" t="s">
        <v>1370</v>
      </c>
      <c r="F692" s="1" t="s">
        <v>39</v>
      </c>
      <c r="G692" s="1" t="str">
        <f>"03992220966"</f>
        <v>03992220966</v>
      </c>
      <c r="I692" s="1" t="s">
        <v>84</v>
      </c>
      <c r="L692" s="1" t="s">
        <v>44</v>
      </c>
      <c r="M692" s="1" t="s">
        <v>86</v>
      </c>
      <c r="AG692" s="1" t="s">
        <v>86</v>
      </c>
      <c r="AH692" s="2">
        <v>44941</v>
      </c>
      <c r="AI692" s="2">
        <v>45183</v>
      </c>
      <c r="AJ692" s="2">
        <v>44941</v>
      </c>
    </row>
    <row r="693" spans="1:36">
      <c r="A693" s="1" t="str">
        <f>"9597885941"</f>
        <v>9597885941</v>
      </c>
      <c r="B693" s="1" t="str">
        <f t="shared" si="20"/>
        <v>02406911202</v>
      </c>
      <c r="C693" s="1" t="s">
        <v>13</v>
      </c>
      <c r="D693" s="1" t="s">
        <v>37</v>
      </c>
      <c r="E693" s="1" t="s">
        <v>1370</v>
      </c>
      <c r="F693" s="1" t="s">
        <v>39</v>
      </c>
      <c r="G693" s="1" t="str">
        <f>"09238800156"</f>
        <v>09238800156</v>
      </c>
      <c r="I693" s="1" t="s">
        <v>88</v>
      </c>
      <c r="L693" s="1" t="s">
        <v>44</v>
      </c>
      <c r="M693" s="1" t="s">
        <v>90</v>
      </c>
      <c r="AG693" s="1" t="s">
        <v>1504</v>
      </c>
      <c r="AH693" s="2">
        <v>44941</v>
      </c>
      <c r="AI693" s="2">
        <v>45183</v>
      </c>
      <c r="AJ693" s="2">
        <v>44941</v>
      </c>
    </row>
    <row r="694" spans="1:36">
      <c r="A694" s="1" t="str">
        <f>"9597920624"</f>
        <v>9597920624</v>
      </c>
      <c r="B694" s="1" t="str">
        <f t="shared" si="20"/>
        <v>02406911202</v>
      </c>
      <c r="C694" s="1" t="s">
        <v>13</v>
      </c>
      <c r="D694" s="1" t="s">
        <v>37</v>
      </c>
      <c r="E694" s="1" t="s">
        <v>1370</v>
      </c>
      <c r="F694" s="1" t="s">
        <v>39</v>
      </c>
      <c r="G694" s="1" t="str">
        <f>"01681100150"</f>
        <v>01681100150</v>
      </c>
      <c r="I694" s="1" t="s">
        <v>92</v>
      </c>
      <c r="L694" s="1" t="s">
        <v>44</v>
      </c>
      <c r="M694" s="1" t="s">
        <v>94</v>
      </c>
      <c r="AG694" s="1" t="s">
        <v>124</v>
      </c>
      <c r="AH694" s="2">
        <v>44941</v>
      </c>
      <c r="AI694" s="2">
        <v>45183</v>
      </c>
      <c r="AJ694" s="2">
        <v>44941</v>
      </c>
    </row>
    <row r="695" spans="1:36">
      <c r="A695" s="1" t="str">
        <f>"Z4C39810EC"</f>
        <v>Z4C39810EC</v>
      </c>
      <c r="B695" s="1" t="str">
        <f t="shared" si="20"/>
        <v>02406911202</v>
      </c>
      <c r="C695" s="1" t="s">
        <v>13</v>
      </c>
      <c r="D695" s="1" t="s">
        <v>1257</v>
      </c>
      <c r="E695" s="1" t="s">
        <v>1505</v>
      </c>
      <c r="F695" s="1" t="s">
        <v>49</v>
      </c>
      <c r="G695" s="1" t="str">
        <f>"01498810280"</f>
        <v>01498810280</v>
      </c>
      <c r="I695" s="1" t="s">
        <v>1487</v>
      </c>
      <c r="L695" s="1" t="s">
        <v>44</v>
      </c>
      <c r="M695" s="1" t="s">
        <v>946</v>
      </c>
      <c r="AG695" s="1" t="s">
        <v>1506</v>
      </c>
      <c r="AH695" s="2">
        <v>44939</v>
      </c>
      <c r="AI695" s="2">
        <v>45291</v>
      </c>
      <c r="AJ695" s="2">
        <v>44939</v>
      </c>
    </row>
    <row r="696" spans="1:36">
      <c r="A696" s="1" t="str">
        <f>"ZAD3981193"</f>
        <v>ZAD3981193</v>
      </c>
      <c r="B696" s="1" t="str">
        <f t="shared" si="20"/>
        <v>02406911202</v>
      </c>
      <c r="C696" s="1" t="s">
        <v>13</v>
      </c>
      <c r="D696" s="1" t="s">
        <v>1257</v>
      </c>
      <c r="E696" s="1" t="s">
        <v>1507</v>
      </c>
      <c r="F696" s="1" t="s">
        <v>49</v>
      </c>
      <c r="G696" s="1" t="str">
        <f>"00208260380"</f>
        <v>00208260380</v>
      </c>
      <c r="I696" s="1" t="s">
        <v>1508</v>
      </c>
      <c r="L696" s="1" t="s">
        <v>44</v>
      </c>
      <c r="M696" s="1" t="s">
        <v>509</v>
      </c>
      <c r="AG696" s="1" t="s">
        <v>1509</v>
      </c>
      <c r="AH696" s="2">
        <v>44939</v>
      </c>
      <c r="AI696" s="2">
        <v>45291</v>
      </c>
      <c r="AJ696" s="2">
        <v>44939</v>
      </c>
    </row>
    <row r="697" spans="1:36">
      <c r="A697" s="1" t="str">
        <f>"Z2639867BF"</f>
        <v>Z2639867BF</v>
      </c>
      <c r="B697" s="1" t="str">
        <f t="shared" si="20"/>
        <v>02406911202</v>
      </c>
      <c r="C697" s="1" t="s">
        <v>13</v>
      </c>
      <c r="D697" s="1" t="s">
        <v>1312</v>
      </c>
      <c r="E697" s="1" t="s">
        <v>1510</v>
      </c>
      <c r="F697" s="1" t="s">
        <v>49</v>
      </c>
      <c r="G697" s="1" t="str">
        <f>"04823140266"</f>
        <v>04823140266</v>
      </c>
      <c r="I697" s="1" t="s">
        <v>1277</v>
      </c>
      <c r="L697" s="1" t="s">
        <v>44</v>
      </c>
      <c r="M697" s="1" t="s">
        <v>1491</v>
      </c>
      <c r="AG697" s="1" t="s">
        <v>1511</v>
      </c>
      <c r="AH697" s="2">
        <v>44943</v>
      </c>
      <c r="AI697" s="2">
        <v>45291</v>
      </c>
      <c r="AJ697" s="2">
        <v>44943</v>
      </c>
    </row>
    <row r="698" spans="1:36">
      <c r="A698" s="1" t="str">
        <f>"ZCA39870A7"</f>
        <v>ZCA39870A7</v>
      </c>
      <c r="B698" s="1" t="str">
        <f t="shared" si="20"/>
        <v>02406911202</v>
      </c>
      <c r="C698" s="1" t="s">
        <v>13</v>
      </c>
      <c r="D698" s="1" t="s">
        <v>1253</v>
      </c>
      <c r="E698" s="1" t="s">
        <v>1262</v>
      </c>
      <c r="F698" s="1" t="s">
        <v>49</v>
      </c>
      <c r="G698" s="1" t="str">
        <f>"00108790502"</f>
        <v>00108790502</v>
      </c>
      <c r="I698" s="1" t="s">
        <v>1512</v>
      </c>
      <c r="L698" s="1" t="s">
        <v>44</v>
      </c>
      <c r="M698" s="1" t="s">
        <v>153</v>
      </c>
      <c r="AG698" s="1" t="s">
        <v>1513</v>
      </c>
      <c r="AH698" s="2">
        <v>44943</v>
      </c>
      <c r="AI698" s="2">
        <v>45291</v>
      </c>
      <c r="AJ698" s="2">
        <v>44943</v>
      </c>
    </row>
    <row r="699" spans="1:36">
      <c r="A699" s="1" t="str">
        <f>"Z9839874D3"</f>
        <v>Z9839874D3</v>
      </c>
      <c r="B699" s="1" t="str">
        <f t="shared" si="20"/>
        <v>02406911202</v>
      </c>
      <c r="C699" s="1" t="s">
        <v>13</v>
      </c>
      <c r="D699" s="1" t="s">
        <v>1312</v>
      </c>
      <c r="E699" s="1" t="s">
        <v>1514</v>
      </c>
      <c r="F699" s="1" t="s">
        <v>49</v>
      </c>
      <c r="G699" s="1" t="str">
        <f>"00615700374"</f>
        <v>00615700374</v>
      </c>
      <c r="I699" s="1" t="s">
        <v>1453</v>
      </c>
      <c r="L699" s="1" t="s">
        <v>44</v>
      </c>
      <c r="M699" s="1" t="s">
        <v>1314</v>
      </c>
      <c r="AG699" s="1" t="s">
        <v>1515</v>
      </c>
      <c r="AH699" s="2">
        <v>44943</v>
      </c>
      <c r="AI699" s="2">
        <v>46053</v>
      </c>
      <c r="AJ699" s="2">
        <v>44943</v>
      </c>
    </row>
    <row r="700" spans="1:36">
      <c r="A700" s="1" t="str">
        <f>"ZE23966F79"</f>
        <v>ZE23966F79</v>
      </c>
      <c r="B700" s="1" t="str">
        <f t="shared" si="20"/>
        <v>02406911202</v>
      </c>
      <c r="C700" s="1" t="s">
        <v>13</v>
      </c>
      <c r="D700" s="1" t="s">
        <v>1253</v>
      </c>
      <c r="E700" s="1" t="s">
        <v>1317</v>
      </c>
      <c r="F700" s="1" t="s">
        <v>49</v>
      </c>
      <c r="G700" s="1" t="str">
        <f>"03597020373"</f>
        <v>03597020373</v>
      </c>
      <c r="I700" s="1" t="s">
        <v>920</v>
      </c>
      <c r="L700" s="1" t="s">
        <v>44</v>
      </c>
      <c r="M700" s="1" t="s">
        <v>1255</v>
      </c>
      <c r="AG700" s="1" t="s">
        <v>1516</v>
      </c>
      <c r="AH700" s="2">
        <v>44930</v>
      </c>
      <c r="AI700" s="2">
        <v>45291</v>
      </c>
      <c r="AJ700" s="2">
        <v>44930</v>
      </c>
    </row>
    <row r="701" spans="1:36">
      <c r="A701" s="1" t="str">
        <f>"Z7A3966FE0"</f>
        <v>Z7A3966FE0</v>
      </c>
      <c r="B701" s="1" t="str">
        <f t="shared" si="20"/>
        <v>02406911202</v>
      </c>
      <c r="C701" s="1" t="s">
        <v>13</v>
      </c>
      <c r="D701" s="1" t="s">
        <v>1257</v>
      </c>
      <c r="E701" s="1" t="s">
        <v>1517</v>
      </c>
      <c r="F701" s="1" t="s">
        <v>49</v>
      </c>
      <c r="G701" s="1" t="str">
        <f>"02330970209"</f>
        <v>02330970209</v>
      </c>
      <c r="I701" s="1" t="s">
        <v>1518</v>
      </c>
      <c r="L701" s="1" t="s">
        <v>44</v>
      </c>
      <c r="M701" s="1" t="s">
        <v>103</v>
      </c>
      <c r="AG701" s="1" t="s">
        <v>1519</v>
      </c>
      <c r="AH701" s="2">
        <v>44930</v>
      </c>
      <c r="AI701" s="2">
        <v>45291</v>
      </c>
      <c r="AJ701" s="2">
        <v>44930</v>
      </c>
    </row>
    <row r="702" spans="1:36">
      <c r="A702" s="1" t="str">
        <f>"ZEB39670EB"</f>
        <v>ZEB39670EB</v>
      </c>
      <c r="B702" s="1" t="str">
        <f t="shared" si="20"/>
        <v>02406911202</v>
      </c>
      <c r="C702" s="1" t="s">
        <v>13</v>
      </c>
      <c r="D702" s="1" t="s">
        <v>1312</v>
      </c>
      <c r="E702" s="1" t="s">
        <v>1520</v>
      </c>
      <c r="F702" s="1" t="s">
        <v>49</v>
      </c>
      <c r="G702" s="1" t="str">
        <f>"04969470154"</f>
        <v>04969470154</v>
      </c>
      <c r="I702" s="1" t="s">
        <v>1521</v>
      </c>
      <c r="L702" s="1" t="s">
        <v>44</v>
      </c>
      <c r="M702" s="1" t="s">
        <v>1314</v>
      </c>
      <c r="AG702" s="1" t="s">
        <v>1522</v>
      </c>
      <c r="AH702" s="2">
        <v>44930</v>
      </c>
      <c r="AI702" s="2">
        <v>45688</v>
      </c>
      <c r="AJ702" s="2">
        <v>44930</v>
      </c>
    </row>
    <row r="703" spans="1:36">
      <c r="A703" s="1" t="str">
        <f>"9415162578"</f>
        <v>9415162578</v>
      </c>
      <c r="B703" s="1" t="str">
        <f t="shared" si="20"/>
        <v>02406911202</v>
      </c>
      <c r="C703" s="1" t="s">
        <v>13</v>
      </c>
      <c r="D703" s="1" t="s">
        <v>37</v>
      </c>
      <c r="E703" s="1" t="s">
        <v>1523</v>
      </c>
      <c r="F703" s="1" t="s">
        <v>117</v>
      </c>
      <c r="G703" s="1" t="str">
        <f>"02169281207"</f>
        <v>02169281207</v>
      </c>
      <c r="I703" s="1" t="s">
        <v>1524</v>
      </c>
      <c r="L703" s="1" t="s">
        <v>44</v>
      </c>
      <c r="M703" s="1" t="s">
        <v>1525</v>
      </c>
      <c r="AG703" s="1" t="s">
        <v>1526</v>
      </c>
      <c r="AH703" s="2">
        <v>44927</v>
      </c>
      <c r="AI703" s="2">
        <v>46022</v>
      </c>
      <c r="AJ703" s="2">
        <v>44927</v>
      </c>
    </row>
    <row r="704" spans="1:36">
      <c r="A704" s="1" t="str">
        <f>"Z50396BDC7"</f>
        <v>Z50396BDC7</v>
      </c>
      <c r="B704" s="1" t="str">
        <f t="shared" si="20"/>
        <v>02406911202</v>
      </c>
      <c r="C704" s="1" t="s">
        <v>13</v>
      </c>
      <c r="D704" s="1" t="s">
        <v>1253</v>
      </c>
      <c r="E704" s="1" t="s">
        <v>1262</v>
      </c>
      <c r="F704" s="1" t="s">
        <v>49</v>
      </c>
      <c r="G704" s="1" t="str">
        <f>"02307520243"</f>
        <v>02307520243</v>
      </c>
      <c r="I704" s="1" t="s">
        <v>1527</v>
      </c>
      <c r="L704" s="1" t="s">
        <v>44</v>
      </c>
      <c r="M704" s="1" t="s">
        <v>1255</v>
      </c>
      <c r="AG704" s="1" t="s">
        <v>1528</v>
      </c>
      <c r="AH704" s="2">
        <v>44935</v>
      </c>
      <c r="AI704" s="2">
        <v>45291</v>
      </c>
      <c r="AJ704" s="2">
        <v>44935</v>
      </c>
    </row>
    <row r="705" spans="1:36">
      <c r="A705" s="1" t="str">
        <f>"ZA1396BD0F"</f>
        <v>ZA1396BD0F</v>
      </c>
      <c r="B705" s="1" t="str">
        <f t="shared" si="20"/>
        <v>02406911202</v>
      </c>
      <c r="C705" s="1" t="s">
        <v>13</v>
      </c>
      <c r="D705" s="1" t="s">
        <v>1312</v>
      </c>
      <c r="E705" s="1" t="s">
        <v>1529</v>
      </c>
      <c r="F705" s="1" t="s">
        <v>49</v>
      </c>
      <c r="G705" s="1" t="str">
        <f>"00674840152"</f>
        <v>00674840152</v>
      </c>
      <c r="I705" s="1" t="s">
        <v>190</v>
      </c>
      <c r="L705" s="1" t="s">
        <v>44</v>
      </c>
      <c r="M705" s="1" t="s">
        <v>1314</v>
      </c>
      <c r="AG705" s="1" t="s">
        <v>1530</v>
      </c>
      <c r="AH705" s="2">
        <v>44935</v>
      </c>
      <c r="AI705" s="2">
        <v>46022</v>
      </c>
      <c r="AJ705" s="2">
        <v>44935</v>
      </c>
    </row>
    <row r="706" spans="1:36">
      <c r="A706" s="1" t="str">
        <f>"Z5C396D88B"</f>
        <v>Z5C396D88B</v>
      </c>
      <c r="B706" s="1" t="str">
        <f t="shared" si="20"/>
        <v>02406911202</v>
      </c>
      <c r="C706" s="1" t="s">
        <v>13</v>
      </c>
      <c r="D706" s="1" t="s">
        <v>1257</v>
      </c>
      <c r="E706" s="1" t="s">
        <v>1531</v>
      </c>
      <c r="F706" s="1" t="s">
        <v>49</v>
      </c>
      <c r="G706" s="1" t="str">
        <f>"11360920968"</f>
        <v>11360920968</v>
      </c>
      <c r="I706" s="1" t="s">
        <v>1532</v>
      </c>
      <c r="L706" s="1" t="s">
        <v>44</v>
      </c>
      <c r="M706" s="1" t="s">
        <v>946</v>
      </c>
      <c r="AG706" s="1" t="s">
        <v>1533</v>
      </c>
      <c r="AH706" s="2">
        <v>44935</v>
      </c>
      <c r="AI706" s="2">
        <v>45291</v>
      </c>
      <c r="AJ706" s="2">
        <v>44935</v>
      </c>
    </row>
    <row r="707" spans="1:36">
      <c r="A707" s="1" t="str">
        <f>"Z1E3965714"</f>
        <v>Z1E3965714</v>
      </c>
      <c r="B707" s="1" t="str">
        <f t="shared" si="20"/>
        <v>02406911202</v>
      </c>
      <c r="C707" s="1" t="s">
        <v>13</v>
      </c>
      <c r="D707" s="1" t="s">
        <v>1257</v>
      </c>
      <c r="E707" s="1" t="s">
        <v>1534</v>
      </c>
      <c r="F707" s="1" t="s">
        <v>49</v>
      </c>
      <c r="G707" s="1" t="str">
        <f>"12676030153"</f>
        <v>12676030153</v>
      </c>
      <c r="I707" s="1" t="s">
        <v>1535</v>
      </c>
      <c r="L707" s="1" t="s">
        <v>44</v>
      </c>
      <c r="M707" s="1" t="s">
        <v>946</v>
      </c>
      <c r="AG707" s="1" t="s">
        <v>1536</v>
      </c>
      <c r="AH707" s="2">
        <v>44930</v>
      </c>
      <c r="AI707" s="2">
        <v>45291</v>
      </c>
      <c r="AJ707" s="2">
        <v>44930</v>
      </c>
    </row>
    <row r="708" spans="1:36">
      <c r="A708" s="1" t="str">
        <f>"9517299397"</f>
        <v>9517299397</v>
      </c>
      <c r="B708" s="1" t="str">
        <f t="shared" si="20"/>
        <v>02406911202</v>
      </c>
      <c r="C708" s="1" t="s">
        <v>13</v>
      </c>
      <c r="D708" s="1" t="s">
        <v>37</v>
      </c>
      <c r="E708" s="1" t="s">
        <v>1537</v>
      </c>
      <c r="F708" s="1" t="s">
        <v>117</v>
      </c>
      <c r="G708" s="1" t="str">
        <f>"02102821002"</f>
        <v>02102821002</v>
      </c>
      <c r="I708" s="1" t="s">
        <v>1538</v>
      </c>
      <c r="L708" s="1" t="s">
        <v>44</v>
      </c>
      <c r="M708" s="1" t="s">
        <v>1539</v>
      </c>
      <c r="AG708" s="1" t="s">
        <v>1540</v>
      </c>
      <c r="AH708" s="2">
        <v>44927</v>
      </c>
      <c r="AI708" s="2">
        <v>45291</v>
      </c>
      <c r="AJ708" s="2">
        <v>44927</v>
      </c>
    </row>
    <row r="709" spans="1:36">
      <c r="A709" s="1" t="str">
        <f>"9561323D55"</f>
        <v>9561323D55</v>
      </c>
      <c r="B709" s="1" t="str">
        <f t="shared" si="20"/>
        <v>02406911202</v>
      </c>
      <c r="C709" s="1" t="s">
        <v>13</v>
      </c>
      <c r="D709" s="1" t="s">
        <v>1312</v>
      </c>
      <c r="E709" s="1" t="s">
        <v>1541</v>
      </c>
      <c r="F709" s="1" t="s">
        <v>49</v>
      </c>
      <c r="G709" s="1" t="str">
        <f>"09018810151"</f>
        <v>09018810151</v>
      </c>
      <c r="I709" s="1" t="s">
        <v>1542</v>
      </c>
      <c r="L709" s="1" t="s">
        <v>44</v>
      </c>
      <c r="M709" s="1" t="s">
        <v>1543</v>
      </c>
      <c r="AG709" s="1" t="s">
        <v>1544</v>
      </c>
      <c r="AH709" s="2">
        <v>44931</v>
      </c>
      <c r="AI709" s="2">
        <v>45473</v>
      </c>
      <c r="AJ709" s="2">
        <v>44931</v>
      </c>
    </row>
    <row r="710" spans="1:36">
      <c r="A710" s="1" t="str">
        <f>"Z76397834A"</f>
        <v>Z76397834A</v>
      </c>
      <c r="B710" s="1" t="str">
        <f t="shared" ref="B710:B773" si="21">"02406911202"</f>
        <v>02406911202</v>
      </c>
      <c r="C710" s="1" t="s">
        <v>13</v>
      </c>
      <c r="D710" s="1" t="s">
        <v>1253</v>
      </c>
      <c r="E710" s="1" t="s">
        <v>1254</v>
      </c>
      <c r="F710" s="1" t="s">
        <v>49</v>
      </c>
      <c r="G710" s="1" t="str">
        <f>"11667890153"</f>
        <v>11667890153</v>
      </c>
      <c r="I710" s="1" t="s">
        <v>1545</v>
      </c>
      <c r="L710" s="1" t="s">
        <v>44</v>
      </c>
      <c r="M710" s="1" t="s">
        <v>1255</v>
      </c>
      <c r="AG710" s="1" t="s">
        <v>1546</v>
      </c>
      <c r="AH710" s="2">
        <v>44938</v>
      </c>
      <c r="AI710" s="2">
        <v>45291</v>
      </c>
      <c r="AJ710" s="2">
        <v>44938</v>
      </c>
    </row>
    <row r="711" spans="1:36">
      <c r="A711" s="1" t="str">
        <f>"Z4D3983C55"</f>
        <v>Z4D3983C55</v>
      </c>
      <c r="B711" s="1" t="str">
        <f t="shared" si="21"/>
        <v>02406911202</v>
      </c>
      <c r="C711" s="1" t="s">
        <v>13</v>
      </c>
      <c r="D711" s="1" t="s">
        <v>1257</v>
      </c>
      <c r="E711" s="1" t="s">
        <v>1547</v>
      </c>
      <c r="F711" s="1" t="s">
        <v>49</v>
      </c>
      <c r="G711" s="1" t="str">
        <f>"03587070370"</f>
        <v>03587070370</v>
      </c>
      <c r="I711" s="1" t="s">
        <v>1548</v>
      </c>
      <c r="L711" s="1" t="s">
        <v>44</v>
      </c>
      <c r="M711" s="1" t="s">
        <v>103</v>
      </c>
      <c r="AG711" s="1" t="s">
        <v>1549</v>
      </c>
      <c r="AH711" s="2">
        <v>44942</v>
      </c>
      <c r="AI711" s="2">
        <v>45291</v>
      </c>
      <c r="AJ711" s="2">
        <v>44942</v>
      </c>
    </row>
    <row r="712" spans="1:36">
      <c r="A712" s="1" t="str">
        <f>"Z5D3972936"</f>
        <v>Z5D3972936</v>
      </c>
      <c r="B712" s="1" t="str">
        <f t="shared" si="21"/>
        <v>02406911202</v>
      </c>
      <c r="C712" s="1" t="s">
        <v>13</v>
      </c>
      <c r="D712" s="1" t="s">
        <v>1312</v>
      </c>
      <c r="E712" s="1" t="s">
        <v>1550</v>
      </c>
      <c r="F712" s="1" t="s">
        <v>49</v>
      </c>
      <c r="G712" s="1" t="str">
        <f>"00154000368"</f>
        <v>00154000368</v>
      </c>
      <c r="I712" s="1" t="s">
        <v>1551</v>
      </c>
      <c r="L712" s="1" t="s">
        <v>44</v>
      </c>
      <c r="M712" s="1" t="s">
        <v>1314</v>
      </c>
      <c r="AG712" s="1" t="s">
        <v>1552</v>
      </c>
      <c r="AH712" s="2">
        <v>44936</v>
      </c>
      <c r="AI712" s="2">
        <v>45291</v>
      </c>
      <c r="AJ712" s="2">
        <v>44936</v>
      </c>
    </row>
    <row r="713" spans="1:36">
      <c r="A713" s="1" t="str">
        <f>"Z5C397521F"</f>
        <v>Z5C397521F</v>
      </c>
      <c r="B713" s="1" t="str">
        <f t="shared" si="21"/>
        <v>02406911202</v>
      </c>
      <c r="C713" s="1" t="s">
        <v>13</v>
      </c>
      <c r="D713" s="1" t="s">
        <v>1257</v>
      </c>
      <c r="E713" s="1" t="s">
        <v>1553</v>
      </c>
      <c r="F713" s="1" t="s">
        <v>49</v>
      </c>
      <c r="G713" s="1" t="str">
        <f>"02333890289"</f>
        <v>02333890289</v>
      </c>
      <c r="I713" s="1" t="s">
        <v>1554</v>
      </c>
      <c r="L713" s="1" t="s">
        <v>44</v>
      </c>
      <c r="M713" s="1" t="s">
        <v>103</v>
      </c>
      <c r="AG713" s="1" t="s">
        <v>1555</v>
      </c>
      <c r="AH713" s="2">
        <v>44937</v>
      </c>
      <c r="AI713" s="2">
        <v>45291</v>
      </c>
      <c r="AJ713" s="2">
        <v>44937</v>
      </c>
    </row>
    <row r="714" spans="1:36">
      <c r="A714" s="1" t="str">
        <f>"ZE03975267"</f>
        <v>ZE03975267</v>
      </c>
      <c r="B714" s="1" t="str">
        <f t="shared" si="21"/>
        <v>02406911202</v>
      </c>
      <c r="C714" s="1" t="s">
        <v>13</v>
      </c>
      <c r="D714" s="1" t="s">
        <v>1257</v>
      </c>
      <c r="E714" s="1" t="s">
        <v>1556</v>
      </c>
      <c r="F714" s="1" t="s">
        <v>49</v>
      </c>
      <c r="G714" s="1" t="str">
        <f>"09238800156"</f>
        <v>09238800156</v>
      </c>
      <c r="I714" s="1" t="s">
        <v>88</v>
      </c>
      <c r="L714" s="1" t="s">
        <v>44</v>
      </c>
      <c r="M714" s="1" t="s">
        <v>103</v>
      </c>
      <c r="AG714" s="1" t="s">
        <v>703</v>
      </c>
      <c r="AH714" s="2">
        <v>44937</v>
      </c>
      <c r="AI714" s="2">
        <v>45291</v>
      </c>
      <c r="AJ714" s="2">
        <v>44937</v>
      </c>
    </row>
    <row r="715" spans="1:36">
      <c r="A715" s="1" t="str">
        <f>"Z203975B71"</f>
        <v>Z203975B71</v>
      </c>
      <c r="B715" s="1" t="str">
        <f t="shared" si="21"/>
        <v>02406911202</v>
      </c>
      <c r="C715" s="1" t="s">
        <v>13</v>
      </c>
      <c r="D715" s="1" t="s">
        <v>1257</v>
      </c>
      <c r="E715" s="1" t="s">
        <v>1557</v>
      </c>
      <c r="F715" s="1" t="s">
        <v>49</v>
      </c>
      <c r="G715" s="1" t="str">
        <f>"00660040528"</f>
        <v>00660040528</v>
      </c>
      <c r="I715" s="1" t="s">
        <v>1558</v>
      </c>
      <c r="L715" s="1" t="s">
        <v>44</v>
      </c>
      <c r="M715" s="1" t="s">
        <v>103</v>
      </c>
      <c r="AG715" s="1" t="s">
        <v>1559</v>
      </c>
      <c r="AH715" s="2">
        <v>44937</v>
      </c>
      <c r="AI715" s="2">
        <v>45291</v>
      </c>
      <c r="AJ715" s="2">
        <v>44937</v>
      </c>
    </row>
    <row r="716" spans="1:36">
      <c r="A716" s="1" t="str">
        <f>"ZD839767C7"</f>
        <v>ZD839767C7</v>
      </c>
      <c r="B716" s="1" t="str">
        <f t="shared" si="21"/>
        <v>02406911202</v>
      </c>
      <c r="C716" s="1" t="s">
        <v>13</v>
      </c>
      <c r="D716" s="1" t="s">
        <v>1257</v>
      </c>
      <c r="E716" s="1" t="s">
        <v>1560</v>
      </c>
      <c r="F716" s="1" t="s">
        <v>49</v>
      </c>
      <c r="G716" s="1" t="str">
        <f>"07817950152"</f>
        <v>07817950152</v>
      </c>
      <c r="I716" s="1" t="s">
        <v>1561</v>
      </c>
      <c r="L716" s="1" t="s">
        <v>44</v>
      </c>
      <c r="M716" s="1" t="s">
        <v>103</v>
      </c>
      <c r="AG716" s="1" t="s">
        <v>124</v>
      </c>
      <c r="AH716" s="2">
        <v>44937</v>
      </c>
      <c r="AI716" s="2">
        <v>45291</v>
      </c>
      <c r="AJ716" s="2">
        <v>44937</v>
      </c>
    </row>
    <row r="717" spans="1:36">
      <c r="A717" s="1" t="str">
        <f>"Z833970E32"</f>
        <v>Z833970E32</v>
      </c>
      <c r="B717" s="1" t="str">
        <f t="shared" si="21"/>
        <v>02406911202</v>
      </c>
      <c r="C717" s="1" t="s">
        <v>13</v>
      </c>
      <c r="D717" s="1" t="s">
        <v>1253</v>
      </c>
      <c r="E717" s="1" t="s">
        <v>1562</v>
      </c>
      <c r="F717" s="1" t="s">
        <v>49</v>
      </c>
      <c r="G717" s="1" t="str">
        <f>"06032681006"</f>
        <v>06032681006</v>
      </c>
      <c r="I717" s="1" t="s">
        <v>1351</v>
      </c>
      <c r="L717" s="1" t="s">
        <v>44</v>
      </c>
      <c r="M717" s="1" t="s">
        <v>1255</v>
      </c>
      <c r="AG717" s="1" t="s">
        <v>1563</v>
      </c>
      <c r="AH717" s="2">
        <v>44936</v>
      </c>
      <c r="AI717" s="2">
        <v>45291</v>
      </c>
      <c r="AJ717" s="2">
        <v>44936</v>
      </c>
    </row>
    <row r="718" spans="1:36">
      <c r="A718" s="1" t="str">
        <f>"ZF339848B8"</f>
        <v>ZF339848B8</v>
      </c>
      <c r="B718" s="1" t="str">
        <f t="shared" si="21"/>
        <v>02406911202</v>
      </c>
      <c r="C718" s="1" t="s">
        <v>13</v>
      </c>
      <c r="D718" s="1" t="s">
        <v>1253</v>
      </c>
      <c r="E718" s="1" t="s">
        <v>1317</v>
      </c>
      <c r="F718" s="1" t="s">
        <v>49</v>
      </c>
      <c r="G718" s="1" t="str">
        <f>"00549731206"</f>
        <v>00549731206</v>
      </c>
      <c r="I718" s="1" t="s">
        <v>1391</v>
      </c>
      <c r="L718" s="1" t="s">
        <v>44</v>
      </c>
      <c r="M718" s="1" t="s">
        <v>1255</v>
      </c>
      <c r="AG718" s="1" t="s">
        <v>1564</v>
      </c>
      <c r="AH718" s="2">
        <v>44942</v>
      </c>
      <c r="AI718" s="2">
        <v>45291</v>
      </c>
      <c r="AJ718" s="2">
        <v>44942</v>
      </c>
    </row>
    <row r="719" spans="1:36">
      <c r="A719" s="1" t="str">
        <f>"ZD93984D7A"</f>
        <v>ZD93984D7A</v>
      </c>
      <c r="B719" s="1" t="str">
        <f t="shared" si="21"/>
        <v>02406911202</v>
      </c>
      <c r="C719" s="1" t="s">
        <v>13</v>
      </c>
      <c r="D719" s="1" t="s">
        <v>1312</v>
      </c>
      <c r="E719" s="1" t="s">
        <v>1565</v>
      </c>
      <c r="F719" s="1" t="s">
        <v>49</v>
      </c>
      <c r="G719" s="1" t="str">
        <f>"02704520341"</f>
        <v>02704520341</v>
      </c>
      <c r="I719" s="1" t="s">
        <v>1429</v>
      </c>
      <c r="L719" s="1" t="s">
        <v>44</v>
      </c>
      <c r="M719" s="1" t="s">
        <v>1314</v>
      </c>
      <c r="AG719" s="1" t="s">
        <v>1566</v>
      </c>
      <c r="AH719" s="2">
        <v>44942</v>
      </c>
      <c r="AI719" s="2">
        <v>45291</v>
      </c>
      <c r="AJ719" s="2">
        <v>44942</v>
      </c>
    </row>
    <row r="720" spans="1:36">
      <c r="A720" s="1" t="str">
        <f>"Z1F39864E1"</f>
        <v>Z1F39864E1</v>
      </c>
      <c r="B720" s="1" t="str">
        <f t="shared" si="21"/>
        <v>02406911202</v>
      </c>
      <c r="C720" s="1" t="s">
        <v>13</v>
      </c>
      <c r="D720" s="1" t="s">
        <v>1257</v>
      </c>
      <c r="E720" s="1" t="s">
        <v>1567</v>
      </c>
      <c r="F720" s="1" t="s">
        <v>49</v>
      </c>
      <c r="G720" s="1" t="str">
        <f>"03570491203"</f>
        <v>03570491203</v>
      </c>
      <c r="I720" s="1" t="s">
        <v>1568</v>
      </c>
      <c r="L720" s="1" t="s">
        <v>44</v>
      </c>
      <c r="M720" s="1" t="s">
        <v>103</v>
      </c>
      <c r="AG720" s="1" t="s">
        <v>1569</v>
      </c>
      <c r="AH720" s="2">
        <v>44943</v>
      </c>
      <c r="AI720" s="2">
        <v>45291</v>
      </c>
      <c r="AJ720" s="2">
        <v>44943</v>
      </c>
    </row>
    <row r="721" spans="1:36">
      <c r="A721" s="1" t="str">
        <f>"Z013986E71"</f>
        <v>Z013986E71</v>
      </c>
      <c r="B721" s="1" t="str">
        <f t="shared" si="21"/>
        <v>02406911202</v>
      </c>
      <c r="C721" s="1" t="s">
        <v>13</v>
      </c>
      <c r="D721" s="1" t="s">
        <v>1253</v>
      </c>
      <c r="E721" s="1" t="s">
        <v>1262</v>
      </c>
      <c r="F721" s="1" t="s">
        <v>49</v>
      </c>
      <c r="G721" s="1" t="str">
        <f>"06109061215"</f>
        <v>06109061215</v>
      </c>
      <c r="I721" s="1" t="s">
        <v>1570</v>
      </c>
      <c r="L721" s="1" t="s">
        <v>44</v>
      </c>
      <c r="M721" s="1" t="s">
        <v>153</v>
      </c>
      <c r="AG721" s="1" t="s">
        <v>1571</v>
      </c>
      <c r="AH721" s="2">
        <v>44943</v>
      </c>
      <c r="AI721" s="2">
        <v>45291</v>
      </c>
      <c r="AJ721" s="2">
        <v>44943</v>
      </c>
    </row>
    <row r="722" spans="1:36">
      <c r="A722" s="1" t="str">
        <f>"Z493977533"</f>
        <v>Z493977533</v>
      </c>
      <c r="B722" s="1" t="str">
        <f t="shared" si="21"/>
        <v>02406911202</v>
      </c>
      <c r="C722" s="1" t="s">
        <v>13</v>
      </c>
      <c r="D722" s="1" t="s">
        <v>1253</v>
      </c>
      <c r="E722" s="1" t="s">
        <v>1262</v>
      </c>
      <c r="F722" s="1" t="s">
        <v>49</v>
      </c>
      <c r="G722" s="1" t="str">
        <f>"01286700487"</f>
        <v>01286700487</v>
      </c>
      <c r="I722" s="1" t="s">
        <v>1572</v>
      </c>
      <c r="L722" s="1" t="s">
        <v>44</v>
      </c>
      <c r="M722" s="1" t="s">
        <v>153</v>
      </c>
      <c r="AG722" s="1" t="s">
        <v>1573</v>
      </c>
      <c r="AH722" s="2">
        <v>44937</v>
      </c>
      <c r="AI722" s="2">
        <v>45291</v>
      </c>
      <c r="AJ722" s="2">
        <v>44937</v>
      </c>
    </row>
    <row r="723" spans="1:36">
      <c r="A723" s="1" t="str">
        <f>"ZAE3978D7B"</f>
        <v>ZAE3978D7B</v>
      </c>
      <c r="B723" s="1" t="str">
        <f t="shared" si="21"/>
        <v>02406911202</v>
      </c>
      <c r="C723" s="1" t="s">
        <v>13</v>
      </c>
      <c r="D723" s="1" t="s">
        <v>1253</v>
      </c>
      <c r="E723" s="1" t="s">
        <v>1262</v>
      </c>
      <c r="F723" s="1" t="s">
        <v>49</v>
      </c>
      <c r="G723" s="1" t="str">
        <f>"03432221202"</f>
        <v>03432221202</v>
      </c>
      <c r="I723" s="1" t="s">
        <v>1574</v>
      </c>
      <c r="L723" s="1" t="s">
        <v>44</v>
      </c>
      <c r="M723" s="1" t="s">
        <v>1255</v>
      </c>
      <c r="AG723" s="1" t="s">
        <v>1575</v>
      </c>
      <c r="AH723" s="2">
        <v>44938</v>
      </c>
      <c r="AI723" s="2">
        <v>45291</v>
      </c>
      <c r="AJ723" s="2">
        <v>44938</v>
      </c>
    </row>
    <row r="724" spans="1:36">
      <c r="A724" s="1" t="str">
        <f>"9589361F05"</f>
        <v>9589361F05</v>
      </c>
      <c r="B724" s="1" t="str">
        <f t="shared" si="21"/>
        <v>02406911202</v>
      </c>
      <c r="C724" s="1" t="s">
        <v>13</v>
      </c>
      <c r="D724" s="1" t="s">
        <v>37</v>
      </c>
      <c r="E724" s="1" t="s">
        <v>1464</v>
      </c>
      <c r="F724" s="1" t="s">
        <v>39</v>
      </c>
      <c r="G724" s="1" t="str">
        <f>"11281200011"</f>
        <v>11281200011</v>
      </c>
      <c r="I724" s="1" t="s">
        <v>1576</v>
      </c>
      <c r="L724" s="1" t="s">
        <v>44</v>
      </c>
      <c r="M724" s="1" t="s">
        <v>1577</v>
      </c>
      <c r="AG724" s="1" t="s">
        <v>1578</v>
      </c>
      <c r="AH724" s="2">
        <v>44942</v>
      </c>
      <c r="AI724" s="2">
        <v>45672</v>
      </c>
      <c r="AJ724" s="2">
        <v>44942</v>
      </c>
    </row>
    <row r="725" spans="1:36">
      <c r="A725" s="1" t="str">
        <f>"95893738EE"</f>
        <v>95893738EE</v>
      </c>
      <c r="B725" s="1" t="str">
        <f t="shared" si="21"/>
        <v>02406911202</v>
      </c>
      <c r="C725" s="1" t="s">
        <v>13</v>
      </c>
      <c r="D725" s="1" t="s">
        <v>37</v>
      </c>
      <c r="E725" s="1" t="s">
        <v>1464</v>
      </c>
      <c r="F725" s="1" t="s">
        <v>39</v>
      </c>
      <c r="G725" s="1" t="str">
        <f>"11281200011"</f>
        <v>11281200011</v>
      </c>
      <c r="I725" s="1" t="s">
        <v>1576</v>
      </c>
      <c r="L725" s="1" t="s">
        <v>44</v>
      </c>
      <c r="M725" s="1" t="s">
        <v>1579</v>
      </c>
      <c r="AG725" s="1" t="s">
        <v>1580</v>
      </c>
      <c r="AH725" s="2">
        <v>44942</v>
      </c>
      <c r="AI725" s="2">
        <v>45672</v>
      </c>
      <c r="AJ725" s="2">
        <v>44942</v>
      </c>
    </row>
    <row r="726" spans="1:36">
      <c r="A726" s="1" t="str">
        <f>"958938747D"</f>
        <v>958938747D</v>
      </c>
      <c r="B726" s="1" t="str">
        <f t="shared" si="21"/>
        <v>02406911202</v>
      </c>
      <c r="C726" s="1" t="s">
        <v>13</v>
      </c>
      <c r="D726" s="1" t="s">
        <v>37</v>
      </c>
      <c r="E726" s="1" t="s">
        <v>1464</v>
      </c>
      <c r="F726" s="1" t="s">
        <v>39</v>
      </c>
      <c r="G726" s="1" t="str">
        <f>"00907371009"</f>
        <v>00907371009</v>
      </c>
      <c r="I726" s="1" t="s">
        <v>1581</v>
      </c>
      <c r="L726" s="1" t="s">
        <v>44</v>
      </c>
      <c r="M726" s="1" t="s">
        <v>1582</v>
      </c>
      <c r="AG726" s="1" t="s">
        <v>1583</v>
      </c>
      <c r="AH726" s="2">
        <v>44942</v>
      </c>
      <c r="AI726" s="2">
        <v>45672</v>
      </c>
      <c r="AJ726" s="2">
        <v>44942</v>
      </c>
    </row>
    <row r="727" spans="1:36">
      <c r="A727" s="1" t="str">
        <f>"Z2D397A394"</f>
        <v>Z2D397A394</v>
      </c>
      <c r="B727" s="1" t="str">
        <f t="shared" si="21"/>
        <v>02406911202</v>
      </c>
      <c r="C727" s="1" t="s">
        <v>13</v>
      </c>
      <c r="D727" s="1" t="s">
        <v>1253</v>
      </c>
      <c r="E727" s="1" t="s">
        <v>1387</v>
      </c>
      <c r="F727" s="1" t="s">
        <v>49</v>
      </c>
      <c r="G727" s="1" t="str">
        <f>"02154210351"</f>
        <v>02154210351</v>
      </c>
      <c r="I727" s="1" t="s">
        <v>1584</v>
      </c>
      <c r="L727" s="1" t="s">
        <v>44</v>
      </c>
      <c r="M727" s="1" t="s">
        <v>153</v>
      </c>
      <c r="AG727" s="1" t="s">
        <v>1585</v>
      </c>
      <c r="AH727" s="2">
        <v>44938</v>
      </c>
      <c r="AI727" s="2">
        <v>45291</v>
      </c>
      <c r="AJ727" s="2">
        <v>44938</v>
      </c>
    </row>
    <row r="728" spans="1:36">
      <c r="A728" s="1" t="str">
        <f>"Z8F3983D74"</f>
        <v>Z8F3983D74</v>
      </c>
      <c r="B728" s="1" t="str">
        <f t="shared" si="21"/>
        <v>02406911202</v>
      </c>
      <c r="C728" s="1" t="s">
        <v>13</v>
      </c>
      <c r="D728" s="1" t="s">
        <v>1312</v>
      </c>
      <c r="E728" s="1" t="s">
        <v>1586</v>
      </c>
      <c r="F728" s="1" t="s">
        <v>49</v>
      </c>
      <c r="G728" s="1" t="str">
        <f>"00489820464"</f>
        <v>00489820464</v>
      </c>
      <c r="I728" s="1" t="s">
        <v>1587</v>
      </c>
      <c r="L728" s="1" t="s">
        <v>44</v>
      </c>
      <c r="M728" s="1" t="s">
        <v>1314</v>
      </c>
      <c r="AG728" s="1" t="s">
        <v>1588</v>
      </c>
      <c r="AH728" s="2">
        <v>44942</v>
      </c>
      <c r="AI728" s="2">
        <v>46022</v>
      </c>
      <c r="AJ728" s="2">
        <v>44942</v>
      </c>
    </row>
    <row r="729" spans="1:36">
      <c r="A729" s="1" t="str">
        <f>"Z653988092"</f>
        <v>Z653988092</v>
      </c>
      <c r="B729" s="1" t="str">
        <f t="shared" si="21"/>
        <v>02406911202</v>
      </c>
      <c r="C729" s="1" t="s">
        <v>13</v>
      </c>
      <c r="D729" s="1" t="s">
        <v>1253</v>
      </c>
      <c r="E729" s="1" t="s">
        <v>1270</v>
      </c>
      <c r="F729" s="1" t="s">
        <v>49</v>
      </c>
      <c r="G729" s="1" t="str">
        <f>"03784450961"</f>
        <v>03784450961</v>
      </c>
      <c r="I729" s="1" t="s">
        <v>1589</v>
      </c>
      <c r="L729" s="1" t="s">
        <v>44</v>
      </c>
      <c r="M729" s="1" t="s">
        <v>1255</v>
      </c>
      <c r="AG729" s="1" t="s">
        <v>1590</v>
      </c>
      <c r="AH729" s="2">
        <v>44943</v>
      </c>
      <c r="AI729" s="2">
        <v>45291</v>
      </c>
      <c r="AJ729" s="2">
        <v>44943</v>
      </c>
    </row>
    <row r="730" spans="1:36">
      <c r="A730" s="1" t="str">
        <f>"ZC939693E0"</f>
        <v>ZC939693E0</v>
      </c>
      <c r="B730" s="1" t="str">
        <f t="shared" si="21"/>
        <v>02406911202</v>
      </c>
      <c r="C730" s="1" t="s">
        <v>13</v>
      </c>
      <c r="D730" s="1" t="s">
        <v>1253</v>
      </c>
      <c r="E730" s="1" t="s">
        <v>1262</v>
      </c>
      <c r="F730" s="1" t="s">
        <v>49</v>
      </c>
      <c r="H730" s="1" t="str">
        <f>"331567510"</f>
        <v>331567510</v>
      </c>
      <c r="I730" s="1" t="s">
        <v>1591</v>
      </c>
      <c r="L730" s="1" t="s">
        <v>44</v>
      </c>
      <c r="M730" s="1" t="s">
        <v>1255</v>
      </c>
      <c r="AG730" s="1" t="s">
        <v>1592</v>
      </c>
      <c r="AH730" s="2">
        <v>44931</v>
      </c>
      <c r="AI730" s="2">
        <v>45291</v>
      </c>
      <c r="AJ730" s="2">
        <v>44931</v>
      </c>
    </row>
    <row r="731" spans="1:36">
      <c r="A731" s="1" t="str">
        <f>"ZC93974848"</f>
        <v>ZC93974848</v>
      </c>
      <c r="B731" s="1" t="str">
        <f t="shared" si="21"/>
        <v>02406911202</v>
      </c>
      <c r="C731" s="1" t="s">
        <v>13</v>
      </c>
      <c r="D731" s="1" t="s">
        <v>1253</v>
      </c>
      <c r="E731" s="1" t="s">
        <v>1262</v>
      </c>
      <c r="F731" s="1" t="s">
        <v>49</v>
      </c>
      <c r="G731" s="1" t="str">
        <f>"15281641009"</f>
        <v>15281641009</v>
      </c>
      <c r="I731" s="1" t="s">
        <v>1332</v>
      </c>
      <c r="L731" s="1" t="s">
        <v>44</v>
      </c>
      <c r="M731" s="1" t="s">
        <v>1255</v>
      </c>
      <c r="AG731" s="1" t="s">
        <v>1593</v>
      </c>
      <c r="AH731" s="2">
        <v>44937</v>
      </c>
      <c r="AI731" s="2">
        <v>45291</v>
      </c>
      <c r="AJ731" s="2">
        <v>44937</v>
      </c>
    </row>
    <row r="732" spans="1:36">
      <c r="A732" s="1" t="str">
        <f>"Z31397BA3A"</f>
        <v>Z31397BA3A</v>
      </c>
      <c r="B732" s="1" t="str">
        <f t="shared" si="21"/>
        <v>02406911202</v>
      </c>
      <c r="C732" s="1" t="s">
        <v>13</v>
      </c>
      <c r="D732" s="1" t="s">
        <v>1257</v>
      </c>
      <c r="E732" s="1" t="s">
        <v>1594</v>
      </c>
      <c r="F732" s="1" t="s">
        <v>49</v>
      </c>
      <c r="G732" s="1" t="str">
        <f>"00674840152"</f>
        <v>00674840152</v>
      </c>
      <c r="I732" s="1" t="s">
        <v>190</v>
      </c>
      <c r="L732" s="1" t="s">
        <v>44</v>
      </c>
      <c r="M732" s="1" t="s">
        <v>103</v>
      </c>
      <c r="AG732" s="1" t="s">
        <v>1595</v>
      </c>
      <c r="AH732" s="2">
        <v>44938</v>
      </c>
      <c r="AI732" s="2">
        <v>45291</v>
      </c>
      <c r="AJ732" s="2">
        <v>44938</v>
      </c>
    </row>
    <row r="733" spans="1:36">
      <c r="A733" s="1" t="str">
        <f>"Z25397BBE5"</f>
        <v>Z25397BBE5</v>
      </c>
      <c r="B733" s="1" t="str">
        <f t="shared" si="21"/>
        <v>02406911202</v>
      </c>
      <c r="C733" s="1" t="s">
        <v>13</v>
      </c>
      <c r="D733" s="1" t="s">
        <v>1253</v>
      </c>
      <c r="E733" s="1" t="s">
        <v>1254</v>
      </c>
      <c r="F733" s="1" t="s">
        <v>49</v>
      </c>
      <c r="G733" s="1" t="str">
        <f>"06032681006"</f>
        <v>06032681006</v>
      </c>
      <c r="I733" s="1" t="s">
        <v>1351</v>
      </c>
      <c r="L733" s="1" t="s">
        <v>44</v>
      </c>
      <c r="M733" s="1" t="s">
        <v>1255</v>
      </c>
      <c r="AG733" s="1" t="s">
        <v>1596</v>
      </c>
      <c r="AH733" s="2">
        <v>44938</v>
      </c>
      <c r="AI733" s="2">
        <v>45291</v>
      </c>
      <c r="AJ733" s="2">
        <v>44938</v>
      </c>
    </row>
    <row r="734" spans="1:36">
      <c r="A734" s="1" t="str">
        <f>"Z24397BC9B"</f>
        <v>Z24397BC9B</v>
      </c>
      <c r="B734" s="1" t="str">
        <f t="shared" si="21"/>
        <v>02406911202</v>
      </c>
      <c r="C734" s="1" t="s">
        <v>13</v>
      </c>
      <c r="D734" s="1" t="s">
        <v>1253</v>
      </c>
      <c r="E734" s="1" t="s">
        <v>1254</v>
      </c>
      <c r="F734" s="1" t="s">
        <v>49</v>
      </c>
      <c r="G734" s="1" t="str">
        <f>"11570870961"</f>
        <v>11570870961</v>
      </c>
      <c r="I734" s="1" t="s">
        <v>1597</v>
      </c>
      <c r="L734" s="1" t="s">
        <v>44</v>
      </c>
      <c r="M734" s="1" t="s">
        <v>1255</v>
      </c>
      <c r="AG734" s="1" t="s">
        <v>1598</v>
      </c>
      <c r="AH734" s="2">
        <v>44938</v>
      </c>
      <c r="AI734" s="2">
        <v>45291</v>
      </c>
      <c r="AJ734" s="2">
        <v>44938</v>
      </c>
    </row>
    <row r="735" spans="1:36">
      <c r="A735" s="1" t="str">
        <f>"ZE7397BD33"</f>
        <v>ZE7397BD33</v>
      </c>
      <c r="B735" s="1" t="str">
        <f t="shared" si="21"/>
        <v>02406911202</v>
      </c>
      <c r="C735" s="1" t="s">
        <v>13</v>
      </c>
      <c r="D735" s="1" t="s">
        <v>1253</v>
      </c>
      <c r="E735" s="1" t="s">
        <v>1254</v>
      </c>
      <c r="F735" s="1" t="s">
        <v>49</v>
      </c>
      <c r="G735" s="1" t="str">
        <f>"02804530968"</f>
        <v>02804530968</v>
      </c>
      <c r="I735" s="1" t="s">
        <v>1599</v>
      </c>
      <c r="L735" s="1" t="s">
        <v>44</v>
      </c>
      <c r="M735" s="1" t="s">
        <v>1255</v>
      </c>
      <c r="AG735" s="1" t="s">
        <v>1600</v>
      </c>
      <c r="AH735" s="2">
        <v>44938</v>
      </c>
      <c r="AI735" s="2">
        <v>45291</v>
      </c>
      <c r="AJ735" s="2">
        <v>44938</v>
      </c>
    </row>
    <row r="736" spans="1:36">
      <c r="A736" s="1" t="str">
        <f>"ZAD397BE3C"</f>
        <v>ZAD397BE3C</v>
      </c>
      <c r="B736" s="1" t="str">
        <f t="shared" si="21"/>
        <v>02406911202</v>
      </c>
      <c r="C736" s="1" t="s">
        <v>13</v>
      </c>
      <c r="D736" s="1" t="s">
        <v>1253</v>
      </c>
      <c r="E736" s="1" t="s">
        <v>1254</v>
      </c>
      <c r="F736" s="1" t="s">
        <v>49</v>
      </c>
      <c r="G736" s="1" t="str">
        <f>"03091530216"</f>
        <v>03091530216</v>
      </c>
      <c r="I736" s="1" t="s">
        <v>1601</v>
      </c>
      <c r="L736" s="1" t="s">
        <v>44</v>
      </c>
      <c r="M736" s="1" t="s">
        <v>1255</v>
      </c>
      <c r="AG736" s="1" t="s">
        <v>1602</v>
      </c>
      <c r="AH736" s="2">
        <v>44938</v>
      </c>
      <c r="AI736" s="2">
        <v>45291</v>
      </c>
      <c r="AJ736" s="2">
        <v>44938</v>
      </c>
    </row>
    <row r="737" spans="1:36">
      <c r="A737" s="1" t="str">
        <f>"Z7C397BEC1"</f>
        <v>Z7C397BEC1</v>
      </c>
      <c r="B737" s="1" t="str">
        <f t="shared" si="21"/>
        <v>02406911202</v>
      </c>
      <c r="C737" s="1" t="s">
        <v>13</v>
      </c>
      <c r="D737" s="1" t="s">
        <v>1257</v>
      </c>
      <c r="E737" s="1" t="s">
        <v>1603</v>
      </c>
      <c r="F737" s="1" t="s">
        <v>49</v>
      </c>
      <c r="G737" s="1" t="str">
        <f>"03597020373"</f>
        <v>03597020373</v>
      </c>
      <c r="I737" s="1" t="s">
        <v>920</v>
      </c>
      <c r="L737" s="1" t="s">
        <v>44</v>
      </c>
      <c r="M737" s="1" t="s">
        <v>103</v>
      </c>
      <c r="AG737" s="1" t="s">
        <v>1604</v>
      </c>
      <c r="AH737" s="2">
        <v>44938</v>
      </c>
      <c r="AI737" s="2">
        <v>45291</v>
      </c>
      <c r="AJ737" s="2">
        <v>44938</v>
      </c>
    </row>
    <row r="738" spans="1:36">
      <c r="A738" s="1" t="str">
        <f>"Z9D397BED3"</f>
        <v>Z9D397BED3</v>
      </c>
      <c r="B738" s="1" t="str">
        <f t="shared" si="21"/>
        <v>02406911202</v>
      </c>
      <c r="C738" s="1" t="s">
        <v>13</v>
      </c>
      <c r="D738" s="1" t="s">
        <v>1253</v>
      </c>
      <c r="E738" s="1" t="s">
        <v>1260</v>
      </c>
      <c r="F738" s="1" t="s">
        <v>49</v>
      </c>
      <c r="G738" s="1" t="str">
        <f>"12259760150"</f>
        <v>12259760150</v>
      </c>
      <c r="I738" s="1" t="s">
        <v>1605</v>
      </c>
      <c r="L738" s="1" t="s">
        <v>44</v>
      </c>
      <c r="M738" s="1" t="s">
        <v>1255</v>
      </c>
      <c r="AG738" s="1" t="s">
        <v>1606</v>
      </c>
      <c r="AH738" s="2">
        <v>44938</v>
      </c>
      <c r="AI738" s="2">
        <v>45291</v>
      </c>
      <c r="AJ738" s="2">
        <v>44938</v>
      </c>
    </row>
    <row r="739" spans="1:36">
      <c r="A739" s="1" t="str">
        <f>"ZB4397C01F"</f>
        <v>ZB4397C01F</v>
      </c>
      <c r="B739" s="1" t="str">
        <f t="shared" si="21"/>
        <v>02406911202</v>
      </c>
      <c r="C739" s="1" t="s">
        <v>13</v>
      </c>
      <c r="D739" s="1" t="s">
        <v>1253</v>
      </c>
      <c r="E739" s="1" t="s">
        <v>1260</v>
      </c>
      <c r="F739" s="1" t="s">
        <v>49</v>
      </c>
      <c r="G739" s="1" t="str">
        <f>"09238800156"</f>
        <v>09238800156</v>
      </c>
      <c r="I739" s="1" t="s">
        <v>88</v>
      </c>
      <c r="L739" s="1" t="s">
        <v>44</v>
      </c>
      <c r="M739" s="1" t="s">
        <v>1255</v>
      </c>
      <c r="AG739" s="1" t="s">
        <v>1607</v>
      </c>
      <c r="AH739" s="2">
        <v>44938</v>
      </c>
      <c r="AI739" s="2">
        <v>45291</v>
      </c>
      <c r="AJ739" s="2">
        <v>44938</v>
      </c>
    </row>
    <row r="740" spans="1:36">
      <c r="A740" s="1" t="str">
        <f>"ZC4398A300"</f>
        <v>ZC4398A300</v>
      </c>
      <c r="B740" s="1" t="str">
        <f t="shared" si="21"/>
        <v>02406911202</v>
      </c>
      <c r="C740" s="1" t="s">
        <v>13</v>
      </c>
      <c r="D740" s="1" t="s">
        <v>1312</v>
      </c>
      <c r="E740" s="1" t="s">
        <v>1608</v>
      </c>
      <c r="F740" s="1" t="s">
        <v>49</v>
      </c>
      <c r="G740" s="1" t="str">
        <f>"01177620299"</f>
        <v>01177620299</v>
      </c>
      <c r="I740" s="1" t="s">
        <v>1609</v>
      </c>
      <c r="L740" s="1" t="s">
        <v>44</v>
      </c>
      <c r="M740" s="1" t="s">
        <v>1314</v>
      </c>
      <c r="AG740" s="1" t="s">
        <v>1610</v>
      </c>
      <c r="AH740" s="2">
        <v>44943</v>
      </c>
      <c r="AI740" s="2">
        <v>45291</v>
      </c>
      <c r="AJ740" s="2">
        <v>44943</v>
      </c>
    </row>
    <row r="741" spans="1:36">
      <c r="A741" s="1" t="str">
        <f>"Z4A3991A17"</f>
        <v>Z4A3991A17</v>
      </c>
      <c r="B741" s="1" t="str">
        <f t="shared" si="21"/>
        <v>02406911202</v>
      </c>
      <c r="C741" s="1" t="s">
        <v>13</v>
      </c>
      <c r="D741" s="1" t="s">
        <v>1257</v>
      </c>
      <c r="E741" s="1" t="s">
        <v>1611</v>
      </c>
      <c r="F741" s="1" t="s">
        <v>49</v>
      </c>
      <c r="G741" s="1" t="str">
        <f>"01847901202"</f>
        <v>01847901202</v>
      </c>
      <c r="I741" s="1" t="s">
        <v>1612</v>
      </c>
      <c r="L741" s="1" t="s">
        <v>44</v>
      </c>
      <c r="M741" s="1" t="s">
        <v>103</v>
      </c>
      <c r="AG741" s="1" t="s">
        <v>1613</v>
      </c>
      <c r="AH741" s="2">
        <v>44945</v>
      </c>
      <c r="AI741" s="2">
        <v>45291</v>
      </c>
      <c r="AJ741" s="2">
        <v>44945</v>
      </c>
    </row>
    <row r="742" spans="1:36">
      <c r="A742" s="1" t="str">
        <f>"ZB03991A21"</f>
        <v>ZB03991A21</v>
      </c>
      <c r="B742" s="1" t="str">
        <f t="shared" si="21"/>
        <v>02406911202</v>
      </c>
      <c r="C742" s="1" t="s">
        <v>13</v>
      </c>
      <c r="D742" s="1" t="s">
        <v>1257</v>
      </c>
      <c r="E742" s="1" t="s">
        <v>1614</v>
      </c>
      <c r="F742" s="1" t="s">
        <v>49</v>
      </c>
      <c r="G742" s="1" t="str">
        <f>"11025740157"</f>
        <v>11025740157</v>
      </c>
      <c r="I742" s="1" t="s">
        <v>1615</v>
      </c>
      <c r="L742" s="1" t="s">
        <v>44</v>
      </c>
      <c r="M742" s="1" t="s">
        <v>103</v>
      </c>
      <c r="AG742" s="1" t="s">
        <v>1616</v>
      </c>
      <c r="AH742" s="2">
        <v>44945</v>
      </c>
      <c r="AI742" s="2">
        <v>45291</v>
      </c>
      <c r="AJ742" s="2">
        <v>44945</v>
      </c>
    </row>
    <row r="743" spans="1:36">
      <c r="A743" s="1" t="str">
        <f>"Z063991C5A"</f>
        <v>Z063991C5A</v>
      </c>
      <c r="B743" s="1" t="str">
        <f t="shared" si="21"/>
        <v>02406911202</v>
      </c>
      <c r="C743" s="1" t="s">
        <v>13</v>
      </c>
      <c r="D743" s="1" t="s">
        <v>1253</v>
      </c>
      <c r="E743" s="1" t="s">
        <v>1254</v>
      </c>
      <c r="F743" s="1" t="s">
        <v>49</v>
      </c>
      <c r="G743" s="1" t="str">
        <f>"01471280162"</f>
        <v>01471280162</v>
      </c>
      <c r="I743" s="1" t="s">
        <v>1617</v>
      </c>
      <c r="L743" s="1" t="s">
        <v>44</v>
      </c>
      <c r="M743" s="1" t="s">
        <v>1255</v>
      </c>
      <c r="AG743" s="1" t="s">
        <v>1618</v>
      </c>
      <c r="AH743" s="2">
        <v>44944</v>
      </c>
      <c r="AI743" s="2">
        <v>45291</v>
      </c>
      <c r="AJ743" s="2">
        <v>44944</v>
      </c>
    </row>
    <row r="744" spans="1:36">
      <c r="A744" s="1" t="str">
        <f>"Z0E39B477E"</f>
        <v>Z0E39B477E</v>
      </c>
      <c r="B744" s="1" t="str">
        <f t="shared" si="21"/>
        <v>02406911202</v>
      </c>
      <c r="C744" s="1" t="s">
        <v>13</v>
      </c>
      <c r="D744" s="1" t="s">
        <v>1253</v>
      </c>
      <c r="E744" s="1" t="s">
        <v>1270</v>
      </c>
      <c r="F744" s="1" t="s">
        <v>49</v>
      </c>
      <c r="G744" s="1" t="str">
        <f>"00076670595"</f>
        <v>00076670595</v>
      </c>
      <c r="I744" s="1" t="s">
        <v>133</v>
      </c>
      <c r="L744" s="1" t="s">
        <v>44</v>
      </c>
      <c r="M744" s="1" t="s">
        <v>1255</v>
      </c>
      <c r="AG744" s="1" t="s">
        <v>1619</v>
      </c>
      <c r="AH744" s="2">
        <v>44953</v>
      </c>
      <c r="AI744" s="2">
        <v>45291</v>
      </c>
      <c r="AJ744" s="2">
        <v>44953</v>
      </c>
    </row>
    <row r="745" spans="1:36">
      <c r="A745" s="1" t="str">
        <f>"ZA039B09DB"</f>
        <v>ZA039B09DB</v>
      </c>
      <c r="B745" s="1" t="str">
        <f t="shared" si="21"/>
        <v>02406911202</v>
      </c>
      <c r="C745" s="1" t="s">
        <v>13</v>
      </c>
      <c r="D745" s="1" t="s">
        <v>1257</v>
      </c>
      <c r="E745" s="1" t="s">
        <v>1620</v>
      </c>
      <c r="F745" s="1" t="s">
        <v>49</v>
      </c>
      <c r="G745" s="1" t="str">
        <f>"06814140965"</f>
        <v>06814140965</v>
      </c>
      <c r="I745" s="1" t="s">
        <v>550</v>
      </c>
      <c r="L745" s="1" t="s">
        <v>44</v>
      </c>
      <c r="M745" s="1" t="s">
        <v>77</v>
      </c>
      <c r="AG745" s="1" t="s">
        <v>1621</v>
      </c>
      <c r="AH745" s="2">
        <v>44927</v>
      </c>
      <c r="AI745" s="2">
        <v>45046</v>
      </c>
      <c r="AJ745" s="2">
        <v>44927</v>
      </c>
    </row>
    <row r="746" spans="1:36">
      <c r="A746" s="1" t="str">
        <f>"Z6739EAAAF"</f>
        <v>Z6739EAAAF</v>
      </c>
      <c r="B746" s="1" t="str">
        <f t="shared" si="21"/>
        <v>02406911202</v>
      </c>
      <c r="C746" s="1" t="s">
        <v>13</v>
      </c>
      <c r="D746" s="1" t="s">
        <v>1253</v>
      </c>
      <c r="E746" s="1" t="s">
        <v>1317</v>
      </c>
      <c r="F746" s="1" t="s">
        <v>49</v>
      </c>
      <c r="G746" s="1" t="str">
        <f>"08082461008"</f>
        <v>08082461008</v>
      </c>
      <c r="I746" s="1" t="s">
        <v>423</v>
      </c>
      <c r="L746" s="1" t="s">
        <v>44</v>
      </c>
      <c r="M746" s="1" t="s">
        <v>1255</v>
      </c>
      <c r="AG746" s="1" t="s">
        <v>143</v>
      </c>
      <c r="AH746" s="2">
        <v>44974</v>
      </c>
      <c r="AI746" s="2">
        <v>45291</v>
      </c>
      <c r="AJ746" s="2">
        <v>44974</v>
      </c>
    </row>
    <row r="747" spans="1:36">
      <c r="A747" s="1" t="str">
        <f>"ZCB3A17EC0"</f>
        <v>ZCB3A17EC0</v>
      </c>
      <c r="B747" s="1" t="str">
        <f t="shared" si="21"/>
        <v>02406911202</v>
      </c>
      <c r="C747" s="1" t="s">
        <v>13</v>
      </c>
      <c r="D747" s="1" t="s">
        <v>1253</v>
      </c>
      <c r="E747" s="1" t="s">
        <v>1262</v>
      </c>
      <c r="F747" s="1" t="s">
        <v>49</v>
      </c>
      <c r="G747" s="1" t="str">
        <f>"08023050969"</f>
        <v>08023050969</v>
      </c>
      <c r="I747" s="1" t="s">
        <v>1622</v>
      </c>
      <c r="L747" s="1" t="s">
        <v>44</v>
      </c>
      <c r="M747" s="1" t="s">
        <v>1255</v>
      </c>
      <c r="AG747" s="1" t="s">
        <v>1623</v>
      </c>
      <c r="AH747" s="2">
        <v>44980</v>
      </c>
      <c r="AI747" s="2">
        <v>45291</v>
      </c>
      <c r="AJ747" s="2">
        <v>44980</v>
      </c>
    </row>
    <row r="748" spans="1:36">
      <c r="A748" s="1" t="str">
        <f>"96679493E7"</f>
        <v>96679493E7</v>
      </c>
      <c r="B748" s="1" t="str">
        <f t="shared" si="21"/>
        <v>02406911202</v>
      </c>
      <c r="C748" s="1" t="s">
        <v>13</v>
      </c>
      <c r="D748" s="1" t="s">
        <v>1312</v>
      </c>
      <c r="E748" s="1" t="s">
        <v>1624</v>
      </c>
      <c r="F748" s="1" t="s">
        <v>49</v>
      </c>
      <c r="G748" s="1" t="str">
        <f>"03992220966"</f>
        <v>03992220966</v>
      </c>
      <c r="I748" s="1" t="s">
        <v>84</v>
      </c>
      <c r="L748" s="1" t="s">
        <v>44</v>
      </c>
      <c r="M748" s="1" t="s">
        <v>1625</v>
      </c>
      <c r="AG748" s="1" t="s">
        <v>1626</v>
      </c>
      <c r="AH748" s="2">
        <v>44987</v>
      </c>
      <c r="AI748" s="2">
        <v>45382</v>
      </c>
      <c r="AJ748" s="2">
        <v>44987</v>
      </c>
    </row>
    <row r="749" spans="1:36">
      <c r="A749" s="1" t="str">
        <f>"9648143B77"</f>
        <v>9648143B77</v>
      </c>
      <c r="B749" s="1" t="str">
        <f t="shared" si="21"/>
        <v>02406911202</v>
      </c>
      <c r="C749" s="1" t="s">
        <v>13</v>
      </c>
      <c r="D749" s="1" t="s">
        <v>37</v>
      </c>
      <c r="E749" s="1" t="s">
        <v>1627</v>
      </c>
      <c r="F749" s="1" t="s">
        <v>117</v>
      </c>
      <c r="G749" s="1" t="str">
        <f>"11819500965"</f>
        <v>11819500965</v>
      </c>
      <c r="I749" s="1" t="s">
        <v>1628</v>
      </c>
      <c r="L749" s="1" t="s">
        <v>44</v>
      </c>
      <c r="M749" s="1" t="s">
        <v>1629</v>
      </c>
      <c r="AG749" s="1" t="s">
        <v>1630</v>
      </c>
      <c r="AH749" s="2">
        <v>44941</v>
      </c>
      <c r="AI749" s="2">
        <v>45291</v>
      </c>
      <c r="AJ749" s="2">
        <v>44941</v>
      </c>
    </row>
    <row r="750" spans="1:36">
      <c r="A750" s="1" t="str">
        <f>"9648143B77"</f>
        <v>9648143B77</v>
      </c>
      <c r="B750" s="1" t="str">
        <f t="shared" si="21"/>
        <v>02406911202</v>
      </c>
      <c r="C750" s="1" t="s">
        <v>13</v>
      </c>
      <c r="D750" s="1" t="s">
        <v>37</v>
      </c>
      <c r="E750" s="1" t="s">
        <v>1627</v>
      </c>
      <c r="F750" s="1" t="s">
        <v>117</v>
      </c>
      <c r="G750" s="1" t="str">
        <f>"09158150962"</f>
        <v>09158150962</v>
      </c>
      <c r="I750" s="1" t="s">
        <v>72</v>
      </c>
      <c r="L750" s="1" t="s">
        <v>44</v>
      </c>
      <c r="M750" s="1" t="s">
        <v>1629</v>
      </c>
      <c r="AG750" s="1" t="s">
        <v>1630</v>
      </c>
      <c r="AH750" s="2">
        <v>44941</v>
      </c>
      <c r="AI750" s="2">
        <v>45291</v>
      </c>
      <c r="AJ750" s="2">
        <v>44941</v>
      </c>
    </row>
    <row r="751" spans="1:36">
      <c r="A751" s="1" t="str">
        <f>"9648156633"</f>
        <v>9648156633</v>
      </c>
      <c r="B751" s="1" t="str">
        <f t="shared" si="21"/>
        <v>02406911202</v>
      </c>
      <c r="C751" s="1" t="s">
        <v>13</v>
      </c>
      <c r="D751" s="1" t="s">
        <v>37</v>
      </c>
      <c r="E751" s="1" t="s">
        <v>1627</v>
      </c>
      <c r="F751" s="1" t="s">
        <v>117</v>
      </c>
      <c r="G751" s="1" t="str">
        <f>"00847380961"</f>
        <v>00847380961</v>
      </c>
      <c r="I751" s="1" t="s">
        <v>1503</v>
      </c>
      <c r="L751" s="1" t="s">
        <v>44</v>
      </c>
      <c r="M751" s="1" t="s">
        <v>699</v>
      </c>
      <c r="AG751" s="1" t="s">
        <v>1631</v>
      </c>
      <c r="AH751" s="2">
        <v>44941</v>
      </c>
      <c r="AI751" s="2">
        <v>45291</v>
      </c>
      <c r="AJ751" s="2">
        <v>44941</v>
      </c>
    </row>
    <row r="752" spans="1:36">
      <c r="A752" s="1" t="str">
        <f>"Z1E39E04EB"</f>
        <v>Z1E39E04EB</v>
      </c>
      <c r="B752" s="1" t="str">
        <f t="shared" si="21"/>
        <v>02406911202</v>
      </c>
      <c r="C752" s="1" t="s">
        <v>13</v>
      </c>
      <c r="D752" s="1" t="s">
        <v>37</v>
      </c>
      <c r="E752" s="1" t="s">
        <v>1627</v>
      </c>
      <c r="F752" s="1" t="s">
        <v>117</v>
      </c>
      <c r="G752" s="1" t="str">
        <f>"01693020206"</f>
        <v>01693020206</v>
      </c>
      <c r="I752" s="1" t="s">
        <v>1632</v>
      </c>
      <c r="L752" s="1" t="s">
        <v>44</v>
      </c>
      <c r="M752" s="1" t="s">
        <v>103</v>
      </c>
      <c r="AG752" s="1" t="s">
        <v>1633</v>
      </c>
      <c r="AH752" s="2">
        <v>44941</v>
      </c>
      <c r="AI752" s="2">
        <v>45291</v>
      </c>
      <c r="AJ752" s="2">
        <v>44941</v>
      </c>
    </row>
    <row r="753" spans="1:36">
      <c r="A753" s="1" t="str">
        <f>"ZD539E0538"</f>
        <v>ZD539E0538</v>
      </c>
      <c r="B753" s="1" t="str">
        <f t="shared" si="21"/>
        <v>02406911202</v>
      </c>
      <c r="C753" s="1" t="s">
        <v>13</v>
      </c>
      <c r="D753" s="1" t="s">
        <v>37</v>
      </c>
      <c r="E753" s="1" t="s">
        <v>1627</v>
      </c>
      <c r="F753" s="1" t="s">
        <v>117</v>
      </c>
      <c r="G753" s="1" t="str">
        <f>"01296201005"</f>
        <v>01296201005</v>
      </c>
      <c r="I753" s="1" t="s">
        <v>1634</v>
      </c>
      <c r="L753" s="1" t="s">
        <v>44</v>
      </c>
      <c r="M753" s="1" t="s">
        <v>103</v>
      </c>
      <c r="AG753" s="1" t="s">
        <v>1635</v>
      </c>
      <c r="AH753" s="2">
        <v>44941</v>
      </c>
      <c r="AI753" s="2">
        <v>45291</v>
      </c>
      <c r="AJ753" s="2">
        <v>44941</v>
      </c>
    </row>
    <row r="754" spans="1:36">
      <c r="A754" s="1" t="str">
        <f>"Z5639E0453"</f>
        <v>Z5639E0453</v>
      </c>
      <c r="B754" s="1" t="str">
        <f t="shared" si="21"/>
        <v>02406911202</v>
      </c>
      <c r="C754" s="1" t="s">
        <v>13</v>
      </c>
      <c r="D754" s="1" t="s">
        <v>37</v>
      </c>
      <c r="E754" s="1" t="s">
        <v>1627</v>
      </c>
      <c r="F754" s="1" t="s">
        <v>117</v>
      </c>
      <c r="G754" s="1" t="str">
        <f>"08862820969"</f>
        <v>08862820969</v>
      </c>
      <c r="I754" s="1" t="s">
        <v>146</v>
      </c>
      <c r="L754" s="1" t="s">
        <v>44</v>
      </c>
      <c r="M754" s="1" t="s">
        <v>946</v>
      </c>
      <c r="AG754" s="1" t="s">
        <v>1636</v>
      </c>
      <c r="AH754" s="2">
        <v>44941</v>
      </c>
      <c r="AI754" s="2">
        <v>45291</v>
      </c>
      <c r="AJ754" s="2">
        <v>44941</v>
      </c>
    </row>
    <row r="755" spans="1:36">
      <c r="A755" s="1" t="str">
        <f>"Z1F39F6628"</f>
        <v>Z1F39F6628</v>
      </c>
      <c r="B755" s="1" t="str">
        <f t="shared" si="21"/>
        <v>02406911202</v>
      </c>
      <c r="C755" s="1" t="s">
        <v>13</v>
      </c>
      <c r="D755" s="1" t="s">
        <v>1312</v>
      </c>
      <c r="E755" s="1" t="s">
        <v>1637</v>
      </c>
      <c r="F755" s="1" t="s">
        <v>49</v>
      </c>
      <c r="G755" s="1" t="str">
        <f>"02803471206"</f>
        <v>02803471206</v>
      </c>
      <c r="I755" s="1" t="s">
        <v>1638</v>
      </c>
      <c r="L755" s="1" t="s">
        <v>44</v>
      </c>
      <c r="M755" s="1" t="s">
        <v>1314</v>
      </c>
      <c r="AG755" s="1" t="s">
        <v>1639</v>
      </c>
      <c r="AH755" s="2">
        <v>44972</v>
      </c>
      <c r="AI755" s="2">
        <v>46022</v>
      </c>
      <c r="AJ755" s="2">
        <v>44972</v>
      </c>
    </row>
    <row r="756" spans="1:36">
      <c r="A756" s="1" t="str">
        <f>"ZA439FA37F"</f>
        <v>ZA439FA37F</v>
      </c>
      <c r="B756" s="1" t="str">
        <f t="shared" si="21"/>
        <v>02406911202</v>
      </c>
      <c r="C756" s="1" t="s">
        <v>13</v>
      </c>
      <c r="D756" s="1" t="s">
        <v>1253</v>
      </c>
      <c r="E756" s="1" t="s">
        <v>1260</v>
      </c>
      <c r="F756" s="1" t="s">
        <v>49</v>
      </c>
      <c r="G756" s="1" t="str">
        <f>"02313550010"</f>
        <v>02313550010</v>
      </c>
      <c r="I756" s="1" t="s">
        <v>1640</v>
      </c>
      <c r="L756" s="1" t="s">
        <v>44</v>
      </c>
      <c r="M756" s="1" t="s">
        <v>1255</v>
      </c>
      <c r="AG756" s="1" t="s">
        <v>1641</v>
      </c>
      <c r="AH756" s="2">
        <v>44972</v>
      </c>
      <c r="AI756" s="2">
        <v>45291</v>
      </c>
      <c r="AJ756" s="2">
        <v>44972</v>
      </c>
    </row>
    <row r="757" spans="1:36">
      <c r="A757" s="1" t="str">
        <f>"Z49398D23F"</f>
        <v>Z49398D23F</v>
      </c>
      <c r="B757" s="1" t="str">
        <f t="shared" si="21"/>
        <v>02406911202</v>
      </c>
      <c r="C757" s="1" t="s">
        <v>13</v>
      </c>
      <c r="D757" s="1" t="s">
        <v>1257</v>
      </c>
      <c r="E757" s="1" t="s">
        <v>1642</v>
      </c>
      <c r="F757" s="1" t="s">
        <v>49</v>
      </c>
      <c r="G757" s="1" t="str">
        <f>"13181610158"</f>
        <v>13181610158</v>
      </c>
      <c r="I757" s="1" t="s">
        <v>1643</v>
      </c>
      <c r="L757" s="1" t="s">
        <v>44</v>
      </c>
      <c r="M757" s="1" t="s">
        <v>946</v>
      </c>
      <c r="AG757" s="1" t="s">
        <v>1644</v>
      </c>
      <c r="AH757" s="2">
        <v>44944</v>
      </c>
      <c r="AI757" s="2">
        <v>45291</v>
      </c>
      <c r="AJ757" s="2">
        <v>44944</v>
      </c>
    </row>
    <row r="758" spans="1:36">
      <c r="A758" s="1" t="str">
        <f>"Z0A39B0E87"</f>
        <v>Z0A39B0E87</v>
      </c>
      <c r="B758" s="1" t="str">
        <f t="shared" si="21"/>
        <v>02406911202</v>
      </c>
      <c r="C758" s="1" t="s">
        <v>13</v>
      </c>
      <c r="D758" s="1" t="s">
        <v>37</v>
      </c>
      <c r="E758" s="1" t="s">
        <v>1645</v>
      </c>
      <c r="F758" s="1" t="s">
        <v>117</v>
      </c>
      <c r="G758" s="1" t="str">
        <f>"12432150154"</f>
        <v>12432150154</v>
      </c>
      <c r="I758" s="1" t="s">
        <v>1646</v>
      </c>
      <c r="L758" s="1" t="s">
        <v>44</v>
      </c>
      <c r="M758" s="1" t="s">
        <v>1647</v>
      </c>
      <c r="AG758" s="1" t="s">
        <v>1648</v>
      </c>
      <c r="AH758" s="2">
        <v>44943</v>
      </c>
      <c r="AI758" s="2">
        <v>46022</v>
      </c>
      <c r="AJ758" s="2">
        <v>44943</v>
      </c>
    </row>
    <row r="759" spans="1:36">
      <c r="A759" s="1" t="str">
        <f>"ZE339B0F2B"</f>
        <v>ZE339B0F2B</v>
      </c>
      <c r="B759" s="1" t="str">
        <f t="shared" si="21"/>
        <v>02406911202</v>
      </c>
      <c r="C759" s="1" t="s">
        <v>13</v>
      </c>
      <c r="D759" s="1" t="s">
        <v>37</v>
      </c>
      <c r="E759" s="1" t="s">
        <v>1649</v>
      </c>
      <c r="F759" s="1" t="s">
        <v>117</v>
      </c>
      <c r="G759" s="1" t="str">
        <f>"03115090874"</f>
        <v>03115090874</v>
      </c>
      <c r="I759" s="1" t="s">
        <v>1650</v>
      </c>
      <c r="L759" s="1" t="s">
        <v>44</v>
      </c>
      <c r="M759" s="1" t="s">
        <v>1651</v>
      </c>
      <c r="AG759" s="1" t="s">
        <v>1652</v>
      </c>
      <c r="AH759" s="2">
        <v>44943</v>
      </c>
      <c r="AI759" s="2">
        <v>46022</v>
      </c>
      <c r="AJ759" s="2">
        <v>44943</v>
      </c>
    </row>
    <row r="760" spans="1:36">
      <c r="A760" s="1" t="str">
        <f>"Z4639A5A9B"</f>
        <v>Z4639A5A9B</v>
      </c>
      <c r="B760" s="1" t="str">
        <f t="shared" si="21"/>
        <v>02406911202</v>
      </c>
      <c r="C760" s="1" t="s">
        <v>13</v>
      </c>
      <c r="D760" s="1" t="s">
        <v>1253</v>
      </c>
      <c r="E760" s="1" t="s">
        <v>1317</v>
      </c>
      <c r="F760" s="1" t="s">
        <v>49</v>
      </c>
      <c r="G760" s="1" t="str">
        <f>"03260081207"</f>
        <v>03260081207</v>
      </c>
      <c r="I760" s="1" t="s">
        <v>1653</v>
      </c>
      <c r="L760" s="1" t="s">
        <v>44</v>
      </c>
      <c r="M760" s="1" t="s">
        <v>1255</v>
      </c>
      <c r="AG760" s="1" t="s">
        <v>1654</v>
      </c>
      <c r="AH760" s="2">
        <v>44953</v>
      </c>
      <c r="AI760" s="2">
        <v>45291</v>
      </c>
      <c r="AJ760" s="2">
        <v>44953</v>
      </c>
    </row>
    <row r="761" spans="1:36">
      <c r="A761" s="1" t="str">
        <f>"ZC839BE47F"</f>
        <v>ZC839BE47F</v>
      </c>
      <c r="B761" s="1" t="str">
        <f t="shared" si="21"/>
        <v>02406911202</v>
      </c>
      <c r="C761" s="1" t="s">
        <v>13</v>
      </c>
      <c r="D761" s="1" t="s">
        <v>1257</v>
      </c>
      <c r="E761" s="1" t="s">
        <v>1655</v>
      </c>
      <c r="F761" s="1" t="s">
        <v>49</v>
      </c>
      <c r="G761" s="1" t="str">
        <f>"02481080964"</f>
        <v>02481080964</v>
      </c>
      <c r="I761" s="1" t="s">
        <v>1656</v>
      </c>
      <c r="L761" s="1" t="s">
        <v>44</v>
      </c>
      <c r="M761" s="1" t="s">
        <v>103</v>
      </c>
      <c r="AG761" s="1" t="s">
        <v>1657</v>
      </c>
      <c r="AH761" s="2">
        <v>44957</v>
      </c>
      <c r="AI761" s="2">
        <v>45291</v>
      </c>
      <c r="AJ761" s="2">
        <v>44957</v>
      </c>
    </row>
    <row r="762" spans="1:36">
      <c r="A762" s="1" t="str">
        <f>"Z1D39BE47D"</f>
        <v>Z1D39BE47D</v>
      </c>
      <c r="B762" s="1" t="str">
        <f t="shared" si="21"/>
        <v>02406911202</v>
      </c>
      <c r="C762" s="1" t="s">
        <v>13</v>
      </c>
      <c r="D762" s="1" t="s">
        <v>1253</v>
      </c>
      <c r="E762" s="1" t="s">
        <v>1270</v>
      </c>
      <c r="F762" s="1" t="s">
        <v>49</v>
      </c>
      <c r="G762" s="1" t="str">
        <f>"12864800151"</f>
        <v>12864800151</v>
      </c>
      <c r="I762" s="1" t="s">
        <v>1393</v>
      </c>
      <c r="L762" s="1" t="s">
        <v>44</v>
      </c>
      <c r="M762" s="1" t="s">
        <v>1255</v>
      </c>
      <c r="AG762" s="1" t="s">
        <v>1658</v>
      </c>
      <c r="AH762" s="2">
        <v>44957</v>
      </c>
      <c r="AI762" s="2">
        <v>45291</v>
      </c>
      <c r="AJ762" s="2">
        <v>44957</v>
      </c>
    </row>
    <row r="763" spans="1:36">
      <c r="A763" s="1" t="str">
        <f>"ZA339C2314"</f>
        <v>ZA339C2314</v>
      </c>
      <c r="B763" s="1" t="str">
        <f t="shared" si="21"/>
        <v>02406911202</v>
      </c>
      <c r="C763" s="1" t="s">
        <v>13</v>
      </c>
      <c r="D763" s="1" t="s">
        <v>1253</v>
      </c>
      <c r="E763" s="1" t="s">
        <v>1270</v>
      </c>
      <c r="F763" s="1" t="s">
        <v>49</v>
      </c>
      <c r="G763" s="1" t="str">
        <f>"00713510154"</f>
        <v>00713510154</v>
      </c>
      <c r="I763" s="1" t="s">
        <v>1659</v>
      </c>
      <c r="L763" s="1" t="s">
        <v>44</v>
      </c>
      <c r="M763" s="1" t="s">
        <v>1255</v>
      </c>
      <c r="AG763" s="1" t="s">
        <v>1660</v>
      </c>
      <c r="AH763" s="2">
        <v>44958</v>
      </c>
      <c r="AI763" s="2">
        <v>45291</v>
      </c>
      <c r="AJ763" s="2">
        <v>44958</v>
      </c>
    </row>
    <row r="764" spans="1:36">
      <c r="A764" s="1" t="str">
        <f>"9566627657"</f>
        <v>9566627657</v>
      </c>
      <c r="B764" s="1" t="str">
        <f t="shared" si="21"/>
        <v>02406911202</v>
      </c>
      <c r="C764" s="1" t="s">
        <v>13</v>
      </c>
      <c r="D764" s="1" t="s">
        <v>37</v>
      </c>
      <c r="E764" s="1" t="s">
        <v>1661</v>
      </c>
      <c r="F764" s="1" t="s">
        <v>39</v>
      </c>
      <c r="G764" s="1" t="str">
        <f>"11164410018"</f>
        <v>11164410018</v>
      </c>
      <c r="I764" s="1" t="s">
        <v>1662</v>
      </c>
      <c r="L764" s="1" t="s">
        <v>44</v>
      </c>
      <c r="M764" s="1" t="s">
        <v>1663</v>
      </c>
      <c r="AG764" s="1" t="s">
        <v>1663</v>
      </c>
      <c r="AH764" s="2">
        <v>44927</v>
      </c>
      <c r="AI764" s="2">
        <v>45291</v>
      </c>
      <c r="AJ764" s="2">
        <v>44927</v>
      </c>
    </row>
    <row r="765" spans="1:36">
      <c r="A765" s="1" t="str">
        <f>"95750171FE"</f>
        <v>95750171FE</v>
      </c>
      <c r="B765" s="1" t="str">
        <f t="shared" si="21"/>
        <v>02406911202</v>
      </c>
      <c r="C765" s="1" t="s">
        <v>13</v>
      </c>
      <c r="D765" s="1" t="s">
        <v>37</v>
      </c>
      <c r="E765" s="1" t="s">
        <v>1664</v>
      </c>
      <c r="F765" s="1" t="s">
        <v>99</v>
      </c>
      <c r="G765" s="1" t="str">
        <f>"01114601006"</f>
        <v>01114601006</v>
      </c>
      <c r="I765" s="1" t="s">
        <v>1665</v>
      </c>
      <c r="L765" s="1" t="s">
        <v>44</v>
      </c>
      <c r="M765" s="1" t="s">
        <v>1666</v>
      </c>
      <c r="AG765" s="1" t="s">
        <v>124</v>
      </c>
      <c r="AH765" s="2">
        <v>44927</v>
      </c>
      <c r="AI765" s="2">
        <v>45016</v>
      </c>
      <c r="AJ765" s="2">
        <v>44927</v>
      </c>
    </row>
    <row r="766" spans="1:36">
      <c r="A766" s="1" t="str">
        <f>"95802765DA"</f>
        <v>95802765DA</v>
      </c>
      <c r="B766" s="1" t="str">
        <f t="shared" si="21"/>
        <v>02406911202</v>
      </c>
      <c r="C766" s="1" t="s">
        <v>13</v>
      </c>
      <c r="D766" s="1" t="s">
        <v>37</v>
      </c>
      <c r="E766" s="1" t="s">
        <v>1667</v>
      </c>
      <c r="F766" s="1" t="s">
        <v>99</v>
      </c>
      <c r="G766" s="1" t="str">
        <f>"05692591000"</f>
        <v>05692591000</v>
      </c>
      <c r="I766" s="1" t="s">
        <v>1668</v>
      </c>
      <c r="L766" s="1" t="s">
        <v>44</v>
      </c>
      <c r="M766" s="1" t="s">
        <v>1669</v>
      </c>
      <c r="AG766" s="1" t="s">
        <v>124</v>
      </c>
      <c r="AH766" s="2">
        <v>44927</v>
      </c>
      <c r="AI766" s="2">
        <v>45016</v>
      </c>
      <c r="AJ766" s="2">
        <v>44927</v>
      </c>
    </row>
    <row r="767" spans="1:36">
      <c r="A767" s="1" t="str">
        <f>"ZAE39D7F2B"</f>
        <v>ZAE39D7F2B</v>
      </c>
      <c r="B767" s="1" t="str">
        <f t="shared" si="21"/>
        <v>02406911202</v>
      </c>
      <c r="C767" s="1" t="s">
        <v>13</v>
      </c>
      <c r="D767" s="1" t="s">
        <v>1253</v>
      </c>
      <c r="E767" s="1" t="s">
        <v>1270</v>
      </c>
      <c r="F767" s="1" t="s">
        <v>49</v>
      </c>
      <c r="G767" s="1" t="str">
        <f>"15438541003"</f>
        <v>15438541003</v>
      </c>
      <c r="I767" s="1" t="s">
        <v>1670</v>
      </c>
      <c r="L767" s="1" t="s">
        <v>44</v>
      </c>
      <c r="M767" s="1" t="s">
        <v>1255</v>
      </c>
      <c r="AG767" s="1" t="s">
        <v>1671</v>
      </c>
      <c r="AH767" s="2">
        <v>44964</v>
      </c>
      <c r="AI767" s="2">
        <v>45291</v>
      </c>
      <c r="AJ767" s="2">
        <v>44964</v>
      </c>
    </row>
    <row r="768" spans="1:36">
      <c r="A768" s="1" t="str">
        <f>"9641030DA1"</f>
        <v>9641030DA1</v>
      </c>
      <c r="B768" s="1" t="str">
        <f t="shared" si="21"/>
        <v>02406911202</v>
      </c>
      <c r="C768" s="1" t="s">
        <v>13</v>
      </c>
      <c r="D768" s="1" t="s">
        <v>37</v>
      </c>
      <c r="E768" s="1" t="s">
        <v>1672</v>
      </c>
      <c r="F768" s="1" t="s">
        <v>117</v>
      </c>
      <c r="G768" s="1" t="str">
        <f>"09050810960"</f>
        <v>09050810960</v>
      </c>
      <c r="I768" s="1" t="s">
        <v>118</v>
      </c>
      <c r="L768" s="1" t="s">
        <v>44</v>
      </c>
      <c r="M768" s="1" t="s">
        <v>283</v>
      </c>
      <c r="AG768" s="1" t="s">
        <v>1673</v>
      </c>
      <c r="AH768" s="2">
        <v>44966</v>
      </c>
      <c r="AI768" s="2">
        <v>45046</v>
      </c>
      <c r="AJ768" s="2">
        <v>44966</v>
      </c>
    </row>
    <row r="769" spans="1:36">
      <c r="A769" s="1" t="str">
        <f>"9641070EA3"</f>
        <v>9641070EA3</v>
      </c>
      <c r="B769" s="1" t="str">
        <f t="shared" si="21"/>
        <v>02406911202</v>
      </c>
      <c r="C769" s="1" t="s">
        <v>13</v>
      </c>
      <c r="D769" s="1" t="s">
        <v>37</v>
      </c>
      <c r="E769" s="1" t="s">
        <v>1672</v>
      </c>
      <c r="F769" s="1" t="s">
        <v>117</v>
      </c>
      <c r="G769" s="1" t="str">
        <f>"00832400154"</f>
        <v>00832400154</v>
      </c>
      <c r="I769" s="1" t="s">
        <v>285</v>
      </c>
      <c r="L769" s="1" t="s">
        <v>44</v>
      </c>
      <c r="M769" s="1" t="s">
        <v>287</v>
      </c>
      <c r="AG769" s="1" t="s">
        <v>1674</v>
      </c>
      <c r="AH769" s="2">
        <v>44966</v>
      </c>
      <c r="AI769" s="2">
        <v>45016</v>
      </c>
      <c r="AJ769" s="2">
        <v>44966</v>
      </c>
    </row>
    <row r="770" spans="1:36">
      <c r="A770" s="1" t="str">
        <f>"Z6439DCD45"</f>
        <v>Z6439DCD45</v>
      </c>
      <c r="B770" s="1" t="str">
        <f t="shared" si="21"/>
        <v>02406911202</v>
      </c>
      <c r="C770" s="1" t="s">
        <v>13</v>
      </c>
      <c r="D770" s="1" t="s">
        <v>1253</v>
      </c>
      <c r="E770" s="1" t="s">
        <v>1387</v>
      </c>
      <c r="F770" s="1" t="s">
        <v>49</v>
      </c>
      <c r="G770" s="1" t="str">
        <f>"02707070963"</f>
        <v>02707070963</v>
      </c>
      <c r="I770" s="1" t="s">
        <v>1675</v>
      </c>
      <c r="L770" s="1" t="s">
        <v>44</v>
      </c>
      <c r="M770" s="1" t="s">
        <v>1255</v>
      </c>
      <c r="AG770" s="1" t="s">
        <v>1676</v>
      </c>
      <c r="AH770" s="2">
        <v>44965</v>
      </c>
      <c r="AI770" s="2">
        <v>45291</v>
      </c>
      <c r="AJ770" s="2">
        <v>44965</v>
      </c>
    </row>
    <row r="771" spans="1:36">
      <c r="A771" s="1" t="str">
        <f>"Z9F39C95B2"</f>
        <v>Z9F39C95B2</v>
      </c>
      <c r="B771" s="1" t="str">
        <f t="shared" si="21"/>
        <v>02406911202</v>
      </c>
      <c r="C771" s="1" t="s">
        <v>13</v>
      </c>
      <c r="D771" s="1" t="s">
        <v>205</v>
      </c>
      <c r="E771" s="1" t="s">
        <v>1677</v>
      </c>
      <c r="F771" s="1" t="s">
        <v>39</v>
      </c>
      <c r="G771" s="1" t="str">
        <f>"05929880960"</f>
        <v>05929880960</v>
      </c>
      <c r="I771" s="1" t="s">
        <v>1678</v>
      </c>
      <c r="L771" s="1" t="s">
        <v>44</v>
      </c>
      <c r="M771" s="1" t="s">
        <v>949</v>
      </c>
      <c r="AG771" s="1" t="s">
        <v>1679</v>
      </c>
      <c r="AH771" s="2">
        <v>44927</v>
      </c>
      <c r="AI771" s="2">
        <v>45291</v>
      </c>
      <c r="AJ771" s="2">
        <v>44927</v>
      </c>
    </row>
    <row r="772" spans="1:36">
      <c r="A772" s="1" t="str">
        <f>"Z5839C962B"</f>
        <v>Z5839C962B</v>
      </c>
      <c r="B772" s="1" t="str">
        <f t="shared" si="21"/>
        <v>02406911202</v>
      </c>
      <c r="C772" s="1" t="s">
        <v>13</v>
      </c>
      <c r="D772" s="1" t="s">
        <v>205</v>
      </c>
      <c r="E772" s="1" t="s">
        <v>1677</v>
      </c>
      <c r="F772" s="1" t="s">
        <v>39</v>
      </c>
      <c r="G772" s="1" t="str">
        <f>"02363180403"</f>
        <v>02363180403</v>
      </c>
      <c r="I772" s="1" t="s">
        <v>1680</v>
      </c>
      <c r="L772" s="1" t="s">
        <v>44</v>
      </c>
      <c r="M772" s="1" t="s">
        <v>947</v>
      </c>
      <c r="AG772" s="1" t="s">
        <v>124</v>
      </c>
      <c r="AH772" s="2">
        <v>44927</v>
      </c>
      <c r="AI772" s="2">
        <v>45291</v>
      </c>
      <c r="AJ772" s="2">
        <v>44927</v>
      </c>
    </row>
    <row r="773" spans="1:36">
      <c r="A773" s="1" t="str">
        <f>"96061150E0"</f>
        <v>96061150E0</v>
      </c>
      <c r="B773" s="1" t="str">
        <f t="shared" si="21"/>
        <v>02406911202</v>
      </c>
      <c r="C773" s="1" t="s">
        <v>13</v>
      </c>
      <c r="D773" s="1" t="s">
        <v>37</v>
      </c>
      <c r="E773" s="1" t="s">
        <v>1681</v>
      </c>
      <c r="F773" s="1" t="s">
        <v>39</v>
      </c>
      <c r="G773" s="1" t="str">
        <f>"09699320017"</f>
        <v>09699320017</v>
      </c>
      <c r="I773" s="1" t="s">
        <v>540</v>
      </c>
      <c r="L773" s="1" t="s">
        <v>44</v>
      </c>
      <c r="M773" s="1" t="s">
        <v>1682</v>
      </c>
      <c r="AG773" s="1" t="s">
        <v>1683</v>
      </c>
      <c r="AH773" s="2">
        <v>44944</v>
      </c>
      <c r="AI773" s="2">
        <v>45230</v>
      </c>
      <c r="AJ773" s="2">
        <v>44944</v>
      </c>
    </row>
    <row r="774" spans="1:36">
      <c r="A774" s="1" t="str">
        <f>"Z24399C53C"</f>
        <v>Z24399C53C</v>
      </c>
      <c r="B774" s="1" t="str">
        <f t="shared" ref="B774:B837" si="22">"02406911202"</f>
        <v>02406911202</v>
      </c>
      <c r="C774" s="1" t="s">
        <v>13</v>
      </c>
      <c r="D774" s="1" t="s">
        <v>1253</v>
      </c>
      <c r="E774" s="1" t="s">
        <v>1260</v>
      </c>
      <c r="F774" s="1" t="s">
        <v>49</v>
      </c>
      <c r="G774" s="1" t="str">
        <f>"02803471206"</f>
        <v>02803471206</v>
      </c>
      <c r="I774" s="1" t="s">
        <v>1638</v>
      </c>
      <c r="L774" s="1" t="s">
        <v>44</v>
      </c>
      <c r="M774" s="1" t="s">
        <v>1255</v>
      </c>
      <c r="AG774" s="1" t="s">
        <v>1684</v>
      </c>
      <c r="AH774" s="2">
        <v>44949</v>
      </c>
      <c r="AI774" s="2">
        <v>45291</v>
      </c>
      <c r="AJ774" s="2">
        <v>44949</v>
      </c>
    </row>
    <row r="775" spans="1:36">
      <c r="A775" s="1" t="str">
        <f>"Z7D399C4B6"</f>
        <v>Z7D399C4B6</v>
      </c>
      <c r="B775" s="1" t="str">
        <f t="shared" si="22"/>
        <v>02406911202</v>
      </c>
      <c r="C775" s="1" t="s">
        <v>13</v>
      </c>
      <c r="D775" s="1" t="s">
        <v>1253</v>
      </c>
      <c r="E775" s="1" t="s">
        <v>1254</v>
      </c>
      <c r="F775" s="1" t="s">
        <v>49</v>
      </c>
      <c r="G775" s="1" t="str">
        <f>"05526631006"</f>
        <v>05526631006</v>
      </c>
      <c r="I775" s="1" t="s">
        <v>1685</v>
      </c>
      <c r="L775" s="1" t="s">
        <v>44</v>
      </c>
      <c r="M775" s="1" t="s">
        <v>1255</v>
      </c>
      <c r="AG775" s="1" t="s">
        <v>1255</v>
      </c>
      <c r="AH775" s="2">
        <v>44949</v>
      </c>
      <c r="AI775" s="2">
        <v>45291</v>
      </c>
      <c r="AJ775" s="2">
        <v>44949</v>
      </c>
    </row>
    <row r="776" spans="1:36">
      <c r="A776" s="1" t="str">
        <f>"Z4639F5C14"</f>
        <v>Z4639F5C14</v>
      </c>
      <c r="B776" s="1" t="str">
        <f t="shared" si="22"/>
        <v>02406911202</v>
      </c>
      <c r="C776" s="1" t="s">
        <v>13</v>
      </c>
      <c r="D776" s="1" t="s">
        <v>205</v>
      </c>
      <c r="E776" s="1" t="s">
        <v>1686</v>
      </c>
      <c r="F776" s="1" t="s">
        <v>39</v>
      </c>
      <c r="G776" s="1" t="str">
        <f>"03946591207"</f>
        <v>03946591207</v>
      </c>
      <c r="I776" s="1" t="s">
        <v>1687</v>
      </c>
      <c r="L776" s="1" t="s">
        <v>44</v>
      </c>
      <c r="M776" s="1" t="s">
        <v>917</v>
      </c>
      <c r="AG776" s="1" t="s">
        <v>1688</v>
      </c>
      <c r="AH776" s="2">
        <v>44927</v>
      </c>
      <c r="AI776" s="2">
        <v>45291</v>
      </c>
      <c r="AJ776" s="2">
        <v>44927</v>
      </c>
    </row>
    <row r="777" spans="1:36">
      <c r="A777" s="1" t="str">
        <f>"ZAD39A2ADF"</f>
        <v>ZAD39A2ADF</v>
      </c>
      <c r="B777" s="1" t="str">
        <f t="shared" si="22"/>
        <v>02406911202</v>
      </c>
      <c r="C777" s="1" t="s">
        <v>13</v>
      </c>
      <c r="D777" s="1" t="s">
        <v>37</v>
      </c>
      <c r="E777" s="1" t="s">
        <v>1689</v>
      </c>
      <c r="F777" s="1" t="s">
        <v>117</v>
      </c>
      <c r="G777" s="1" t="str">
        <f>"09435330965"</f>
        <v>09435330965</v>
      </c>
      <c r="I777" s="1" t="s">
        <v>1690</v>
      </c>
      <c r="L777" s="1" t="s">
        <v>44</v>
      </c>
      <c r="M777" s="1" t="s">
        <v>1691</v>
      </c>
      <c r="AG777" s="1" t="s">
        <v>1692</v>
      </c>
      <c r="AH777" s="2">
        <v>44943</v>
      </c>
      <c r="AI777" s="2">
        <v>46022</v>
      </c>
      <c r="AJ777" s="2">
        <v>44943</v>
      </c>
    </row>
    <row r="778" spans="1:36">
      <c r="A778" s="1" t="str">
        <f>"Z4C3A0695D"</f>
        <v>Z4C3A0695D</v>
      </c>
      <c r="B778" s="1" t="str">
        <f t="shared" si="22"/>
        <v>02406911202</v>
      </c>
      <c r="C778" s="1" t="s">
        <v>13</v>
      </c>
      <c r="D778" s="1" t="s">
        <v>1312</v>
      </c>
      <c r="E778" s="1" t="s">
        <v>1693</v>
      </c>
      <c r="F778" s="1" t="s">
        <v>49</v>
      </c>
      <c r="G778" s="1" t="str">
        <f>"11575580151"</f>
        <v>11575580151</v>
      </c>
      <c r="I778" s="1" t="s">
        <v>290</v>
      </c>
      <c r="L778" s="1" t="s">
        <v>44</v>
      </c>
      <c r="M778" s="1" t="s">
        <v>1314</v>
      </c>
      <c r="AG778" s="1" t="s">
        <v>1694</v>
      </c>
      <c r="AH778" s="2">
        <v>44977</v>
      </c>
      <c r="AI778" s="2">
        <v>45657</v>
      </c>
      <c r="AJ778" s="2">
        <v>44977</v>
      </c>
    </row>
    <row r="779" spans="1:36">
      <c r="A779" s="1" t="str">
        <f>"Z853A074CE"</f>
        <v>Z853A074CE</v>
      </c>
      <c r="B779" s="1" t="str">
        <f t="shared" si="22"/>
        <v>02406911202</v>
      </c>
      <c r="C779" s="1" t="s">
        <v>13</v>
      </c>
      <c r="D779" s="1" t="s">
        <v>1253</v>
      </c>
      <c r="E779" s="1" t="s">
        <v>1254</v>
      </c>
      <c r="F779" s="1" t="s">
        <v>49</v>
      </c>
      <c r="G779" s="1" t="str">
        <f>"06068041000"</f>
        <v>06068041000</v>
      </c>
      <c r="I779" s="1" t="s">
        <v>631</v>
      </c>
      <c r="L779" s="1" t="s">
        <v>44</v>
      </c>
      <c r="M779" s="1" t="s">
        <v>1255</v>
      </c>
      <c r="AG779" s="1" t="s">
        <v>1695</v>
      </c>
      <c r="AH779" s="2">
        <v>44977</v>
      </c>
      <c r="AI779" s="2">
        <v>45291</v>
      </c>
      <c r="AJ779" s="2">
        <v>44977</v>
      </c>
    </row>
    <row r="780" spans="1:36">
      <c r="A780" s="1" t="str">
        <f>"ZA53A07A7D"</f>
        <v>ZA53A07A7D</v>
      </c>
      <c r="B780" s="1" t="str">
        <f t="shared" si="22"/>
        <v>02406911202</v>
      </c>
      <c r="C780" s="1" t="s">
        <v>13</v>
      </c>
      <c r="D780" s="1" t="s">
        <v>1253</v>
      </c>
      <c r="E780" s="1" t="s">
        <v>1254</v>
      </c>
      <c r="F780" s="1" t="s">
        <v>49</v>
      </c>
      <c r="G780" s="1" t="str">
        <f>"01737830230"</f>
        <v>01737830230</v>
      </c>
      <c r="I780" s="1" t="s">
        <v>1696</v>
      </c>
      <c r="L780" s="1" t="s">
        <v>44</v>
      </c>
      <c r="M780" s="1" t="s">
        <v>1255</v>
      </c>
      <c r="AG780" s="1" t="s">
        <v>1697</v>
      </c>
      <c r="AH780" s="2">
        <v>44977</v>
      </c>
      <c r="AI780" s="2">
        <v>45291</v>
      </c>
      <c r="AJ780" s="2">
        <v>44977</v>
      </c>
    </row>
    <row r="781" spans="1:36">
      <c r="A781" s="1" t="str">
        <f>"Z803A07D43"</f>
        <v>Z803A07D43</v>
      </c>
      <c r="B781" s="1" t="str">
        <f t="shared" si="22"/>
        <v>02406911202</v>
      </c>
      <c r="C781" s="1" t="s">
        <v>13</v>
      </c>
      <c r="D781" s="1" t="s">
        <v>1253</v>
      </c>
      <c r="E781" s="1" t="s">
        <v>1260</v>
      </c>
      <c r="F781" s="1" t="s">
        <v>49</v>
      </c>
      <c r="G781" s="1" t="str">
        <f>"03353370160"</f>
        <v>03353370160</v>
      </c>
      <c r="I781" s="1" t="s">
        <v>1337</v>
      </c>
      <c r="L781" s="1" t="s">
        <v>44</v>
      </c>
      <c r="M781" s="1" t="s">
        <v>1255</v>
      </c>
      <c r="AG781" s="1" t="s">
        <v>1698</v>
      </c>
      <c r="AH781" s="2">
        <v>44977</v>
      </c>
      <c r="AI781" s="2">
        <v>45291</v>
      </c>
      <c r="AJ781" s="2">
        <v>44977</v>
      </c>
    </row>
    <row r="782" spans="1:36">
      <c r="A782" s="1" t="str">
        <f>"Z3B3A0832D"</f>
        <v>Z3B3A0832D</v>
      </c>
      <c r="B782" s="1" t="str">
        <f t="shared" si="22"/>
        <v>02406911202</v>
      </c>
      <c r="C782" s="1" t="s">
        <v>13</v>
      </c>
      <c r="D782" s="1" t="s">
        <v>1312</v>
      </c>
      <c r="E782" s="1" t="s">
        <v>1699</v>
      </c>
      <c r="F782" s="1" t="s">
        <v>49</v>
      </c>
      <c r="G782" s="1" t="str">
        <f>"01067490050"</f>
        <v>01067490050</v>
      </c>
      <c r="I782" s="1" t="s">
        <v>1274</v>
      </c>
      <c r="L782" s="1" t="s">
        <v>44</v>
      </c>
      <c r="M782" s="1" t="s">
        <v>1314</v>
      </c>
      <c r="AG782" s="1" t="s">
        <v>1700</v>
      </c>
      <c r="AH782" s="2">
        <v>44977</v>
      </c>
      <c r="AI782" s="2">
        <v>46022</v>
      </c>
      <c r="AJ782" s="2">
        <v>44977</v>
      </c>
    </row>
    <row r="783" spans="1:36">
      <c r="A783" s="1" t="str">
        <f>"Z3C3A17A86"</f>
        <v>Z3C3A17A86</v>
      </c>
      <c r="B783" s="1" t="str">
        <f t="shared" si="22"/>
        <v>02406911202</v>
      </c>
      <c r="C783" s="1" t="s">
        <v>13</v>
      </c>
      <c r="D783" s="1" t="s">
        <v>1253</v>
      </c>
      <c r="E783" s="1" t="s">
        <v>1254</v>
      </c>
      <c r="F783" s="1" t="s">
        <v>49</v>
      </c>
      <c r="G783" s="1" t="str">
        <f>"06068041000"</f>
        <v>06068041000</v>
      </c>
      <c r="I783" s="1" t="s">
        <v>631</v>
      </c>
      <c r="L783" s="1" t="s">
        <v>44</v>
      </c>
      <c r="M783" s="1" t="s">
        <v>1255</v>
      </c>
      <c r="AG783" s="1" t="s">
        <v>1255</v>
      </c>
      <c r="AH783" s="2">
        <v>44980</v>
      </c>
      <c r="AI783" s="2">
        <v>45291</v>
      </c>
      <c r="AJ783" s="2">
        <v>44980</v>
      </c>
    </row>
    <row r="784" spans="1:36">
      <c r="A784" s="1" t="str">
        <f>"Z8739DE75F"</f>
        <v>Z8739DE75F</v>
      </c>
      <c r="B784" s="1" t="str">
        <f t="shared" si="22"/>
        <v>02406911202</v>
      </c>
      <c r="C784" s="1" t="s">
        <v>13</v>
      </c>
      <c r="D784" s="1" t="s">
        <v>37</v>
      </c>
      <c r="E784" s="1" t="s">
        <v>1701</v>
      </c>
      <c r="F784" s="1" t="s">
        <v>117</v>
      </c>
      <c r="G784" s="1" t="str">
        <f>"09190500968"</f>
        <v>09190500968</v>
      </c>
      <c r="I784" s="1" t="s">
        <v>1702</v>
      </c>
      <c r="L784" s="1" t="s">
        <v>44</v>
      </c>
      <c r="M784" s="1" t="s">
        <v>1703</v>
      </c>
      <c r="AG784" s="1" t="s">
        <v>124</v>
      </c>
      <c r="AH784" s="2">
        <v>44943</v>
      </c>
      <c r="AI784" s="2">
        <v>46022</v>
      </c>
      <c r="AJ784" s="2">
        <v>44943</v>
      </c>
    </row>
    <row r="785" spans="1:36">
      <c r="A785" s="1" t="str">
        <f>"Z8739DE75F"</f>
        <v>Z8739DE75F</v>
      </c>
      <c r="B785" s="1" t="str">
        <f t="shared" si="22"/>
        <v>02406911202</v>
      </c>
      <c r="C785" s="1" t="s">
        <v>13</v>
      </c>
      <c r="D785" s="1" t="s">
        <v>37</v>
      </c>
      <c r="E785" s="1" t="s">
        <v>1701</v>
      </c>
      <c r="F785" s="1" t="s">
        <v>117</v>
      </c>
      <c r="G785" s="1" t="str">
        <f>"08457170960"</f>
        <v>08457170960</v>
      </c>
      <c r="I785" s="1" t="s">
        <v>1704</v>
      </c>
      <c r="L785" s="1" t="s">
        <v>44</v>
      </c>
      <c r="M785" s="1" t="s">
        <v>1703</v>
      </c>
      <c r="AG785" s="1" t="s">
        <v>124</v>
      </c>
      <c r="AH785" s="2">
        <v>44943</v>
      </c>
      <c r="AI785" s="2">
        <v>46022</v>
      </c>
      <c r="AJ785" s="2">
        <v>44943</v>
      </c>
    </row>
    <row r="786" spans="1:36">
      <c r="A786" s="1" t="str">
        <f>"9646702652"</f>
        <v>9646702652</v>
      </c>
      <c r="B786" s="1" t="str">
        <f t="shared" si="22"/>
        <v>02406911202</v>
      </c>
      <c r="C786" s="1" t="s">
        <v>13</v>
      </c>
      <c r="D786" s="1" t="s">
        <v>37</v>
      </c>
      <c r="E786" s="1" t="s">
        <v>1705</v>
      </c>
      <c r="F786" s="1" t="s">
        <v>117</v>
      </c>
      <c r="G786" s="1" t="str">
        <f>"02707070963"</f>
        <v>02707070963</v>
      </c>
      <c r="I786" s="1" t="s">
        <v>1675</v>
      </c>
      <c r="L786" s="1" t="s">
        <v>44</v>
      </c>
      <c r="M786" s="1" t="s">
        <v>1706</v>
      </c>
      <c r="AG786" s="1" t="s">
        <v>1707</v>
      </c>
      <c r="AH786" s="2">
        <v>44943</v>
      </c>
      <c r="AI786" s="2">
        <v>46022</v>
      </c>
      <c r="AJ786" s="2">
        <v>44943</v>
      </c>
    </row>
    <row r="787" spans="1:36">
      <c r="A787" s="1" t="str">
        <f>"9646712E90"</f>
        <v>9646712E90</v>
      </c>
      <c r="B787" s="1" t="str">
        <f t="shared" si="22"/>
        <v>02406911202</v>
      </c>
      <c r="C787" s="1" t="s">
        <v>13</v>
      </c>
      <c r="D787" s="1" t="s">
        <v>37</v>
      </c>
      <c r="E787" s="1" t="s">
        <v>1708</v>
      </c>
      <c r="F787" s="1" t="s">
        <v>117</v>
      </c>
      <c r="G787" s="1" t="str">
        <f>"07510800639"</f>
        <v>07510800639</v>
      </c>
      <c r="I787" s="1" t="s">
        <v>1709</v>
      </c>
      <c r="L787" s="1" t="s">
        <v>44</v>
      </c>
      <c r="M787" s="1" t="s">
        <v>1710</v>
      </c>
      <c r="AG787" s="1" t="s">
        <v>1711</v>
      </c>
      <c r="AH787" s="2">
        <v>44943</v>
      </c>
      <c r="AI787" s="2">
        <v>46022</v>
      </c>
      <c r="AJ787" s="2">
        <v>44943</v>
      </c>
    </row>
    <row r="788" spans="1:36">
      <c r="A788" s="1" t="str">
        <f>"9646729C98"</f>
        <v>9646729C98</v>
      </c>
      <c r="B788" s="1" t="str">
        <f t="shared" si="22"/>
        <v>02406911202</v>
      </c>
      <c r="C788" s="1" t="s">
        <v>13</v>
      </c>
      <c r="D788" s="1" t="s">
        <v>37</v>
      </c>
      <c r="E788" s="1" t="s">
        <v>1712</v>
      </c>
      <c r="F788" s="1" t="s">
        <v>117</v>
      </c>
      <c r="G788" s="1" t="str">
        <f>"00071020085"</f>
        <v>00071020085</v>
      </c>
      <c r="I788" s="1" t="s">
        <v>1713</v>
      </c>
      <c r="L788" s="1" t="s">
        <v>44</v>
      </c>
      <c r="M788" s="1" t="s">
        <v>1714</v>
      </c>
      <c r="AG788" s="1" t="s">
        <v>1715</v>
      </c>
      <c r="AH788" s="2">
        <v>44943</v>
      </c>
      <c r="AI788" s="2">
        <v>46022</v>
      </c>
      <c r="AJ788" s="2">
        <v>44943</v>
      </c>
    </row>
    <row r="789" spans="1:36">
      <c r="A789" s="1" t="str">
        <f>"Z7039DE809"</f>
        <v>Z7039DE809</v>
      </c>
      <c r="B789" s="1" t="str">
        <f t="shared" si="22"/>
        <v>02406911202</v>
      </c>
      <c r="C789" s="1" t="s">
        <v>13</v>
      </c>
      <c r="D789" s="1" t="s">
        <v>37</v>
      </c>
      <c r="E789" s="1" t="s">
        <v>1716</v>
      </c>
      <c r="F789" s="1" t="s">
        <v>117</v>
      </c>
      <c r="G789" s="1" t="str">
        <f>"00228550273"</f>
        <v>00228550273</v>
      </c>
      <c r="I789" s="1" t="s">
        <v>1717</v>
      </c>
      <c r="L789" s="1" t="s">
        <v>44</v>
      </c>
      <c r="M789" s="1" t="s">
        <v>1718</v>
      </c>
      <c r="AG789" s="1" t="s">
        <v>124</v>
      </c>
      <c r="AH789" s="2">
        <v>44943</v>
      </c>
      <c r="AI789" s="2">
        <v>46022</v>
      </c>
      <c r="AJ789" s="2">
        <v>44943</v>
      </c>
    </row>
    <row r="790" spans="1:36">
      <c r="A790" s="1" t="str">
        <f>"964676062F"</f>
        <v>964676062F</v>
      </c>
      <c r="B790" s="1" t="str">
        <f t="shared" si="22"/>
        <v>02406911202</v>
      </c>
      <c r="C790" s="1" t="s">
        <v>13</v>
      </c>
      <c r="D790" s="1" t="s">
        <v>37</v>
      </c>
      <c r="E790" s="1" t="s">
        <v>1719</v>
      </c>
      <c r="F790" s="1" t="s">
        <v>117</v>
      </c>
      <c r="G790" s="1" t="str">
        <f>"06647900965"</f>
        <v>06647900965</v>
      </c>
      <c r="I790" s="1" t="s">
        <v>1720</v>
      </c>
      <c r="L790" s="1" t="s">
        <v>44</v>
      </c>
      <c r="M790" s="1" t="s">
        <v>1721</v>
      </c>
      <c r="AG790" s="1" t="s">
        <v>1722</v>
      </c>
      <c r="AH790" s="2">
        <v>44943</v>
      </c>
      <c r="AI790" s="2">
        <v>46022</v>
      </c>
      <c r="AJ790" s="2">
        <v>44943</v>
      </c>
    </row>
    <row r="791" spans="1:36">
      <c r="A791" s="1" t="str">
        <f>"9646775291"</f>
        <v>9646775291</v>
      </c>
      <c r="B791" s="1" t="str">
        <f t="shared" si="22"/>
        <v>02406911202</v>
      </c>
      <c r="C791" s="1" t="s">
        <v>13</v>
      </c>
      <c r="D791" s="1" t="s">
        <v>37</v>
      </c>
      <c r="E791" s="1" t="s">
        <v>1723</v>
      </c>
      <c r="F791" s="1" t="s">
        <v>117</v>
      </c>
      <c r="G791" s="1" t="str">
        <f>"02062550443"</f>
        <v>02062550443</v>
      </c>
      <c r="I791" s="1" t="s">
        <v>1724</v>
      </c>
      <c r="L791" s="1" t="s">
        <v>44</v>
      </c>
      <c r="M791" s="1" t="s">
        <v>1725</v>
      </c>
      <c r="AG791" s="1" t="s">
        <v>1726</v>
      </c>
      <c r="AH791" s="2">
        <v>44943</v>
      </c>
      <c r="AI791" s="2">
        <v>46022</v>
      </c>
      <c r="AJ791" s="2">
        <v>44943</v>
      </c>
    </row>
    <row r="792" spans="1:36">
      <c r="A792" s="1" t="str">
        <f>"9646791FC1"</f>
        <v>9646791FC1</v>
      </c>
      <c r="B792" s="1" t="str">
        <f t="shared" si="22"/>
        <v>02406911202</v>
      </c>
      <c r="C792" s="1" t="s">
        <v>13</v>
      </c>
      <c r="D792" s="1" t="s">
        <v>37</v>
      </c>
      <c r="E792" s="1" t="s">
        <v>1727</v>
      </c>
      <c r="F792" s="1" t="s">
        <v>117</v>
      </c>
      <c r="G792" s="1" t="str">
        <f>"06516000962"</f>
        <v>06516000962</v>
      </c>
      <c r="I792" s="1" t="s">
        <v>1728</v>
      </c>
      <c r="L792" s="1" t="s">
        <v>44</v>
      </c>
      <c r="M792" s="1" t="s">
        <v>1729</v>
      </c>
      <c r="AG792" s="1" t="s">
        <v>1730</v>
      </c>
      <c r="AH792" s="2">
        <v>44943</v>
      </c>
      <c r="AI792" s="2">
        <v>46022</v>
      </c>
      <c r="AJ792" s="2">
        <v>44943</v>
      </c>
    </row>
    <row r="793" spans="1:36">
      <c r="A793" s="1" t="str">
        <f>"ZDC39FC924"</f>
        <v>ZDC39FC924</v>
      </c>
      <c r="B793" s="1" t="str">
        <f t="shared" si="22"/>
        <v>02406911202</v>
      </c>
      <c r="C793" s="1" t="s">
        <v>13</v>
      </c>
      <c r="D793" s="1" t="s">
        <v>1312</v>
      </c>
      <c r="E793" s="1" t="s">
        <v>1731</v>
      </c>
      <c r="F793" s="1" t="s">
        <v>49</v>
      </c>
      <c r="G793" s="1" t="str">
        <f>"00136740404"</f>
        <v>00136740404</v>
      </c>
      <c r="I793" s="1" t="s">
        <v>439</v>
      </c>
      <c r="L793" s="1" t="s">
        <v>44</v>
      </c>
      <c r="M793" s="1" t="s">
        <v>1314</v>
      </c>
      <c r="AG793" s="1" t="s">
        <v>1732</v>
      </c>
      <c r="AH793" s="2">
        <v>44973</v>
      </c>
      <c r="AI793" s="2">
        <v>45016</v>
      </c>
      <c r="AJ793" s="2">
        <v>44973</v>
      </c>
    </row>
    <row r="794" spans="1:36">
      <c r="A794" s="1" t="str">
        <f>"Z7739FC769"</f>
        <v>Z7739FC769</v>
      </c>
      <c r="B794" s="1" t="str">
        <f t="shared" si="22"/>
        <v>02406911202</v>
      </c>
      <c r="C794" s="1" t="s">
        <v>13</v>
      </c>
      <c r="D794" s="1" t="s">
        <v>1312</v>
      </c>
      <c r="E794" s="1" t="s">
        <v>1733</v>
      </c>
      <c r="F794" s="1" t="s">
        <v>49</v>
      </c>
      <c r="G794" s="1" t="str">
        <f>"00278710371"</f>
        <v>00278710371</v>
      </c>
      <c r="I794" s="1" t="s">
        <v>1734</v>
      </c>
      <c r="L794" s="1" t="s">
        <v>44</v>
      </c>
      <c r="M794" s="1" t="s">
        <v>1735</v>
      </c>
      <c r="AG794" s="1" t="s">
        <v>1736</v>
      </c>
      <c r="AH794" s="2">
        <v>44973</v>
      </c>
      <c r="AI794" s="2">
        <v>45291</v>
      </c>
      <c r="AJ794" s="2">
        <v>44973</v>
      </c>
    </row>
    <row r="795" spans="1:36">
      <c r="A795" s="1" t="str">
        <f>"Z4E39FA3D9"</f>
        <v>Z4E39FA3D9</v>
      </c>
      <c r="B795" s="1" t="str">
        <f t="shared" si="22"/>
        <v>02406911202</v>
      </c>
      <c r="C795" s="1" t="s">
        <v>13</v>
      </c>
      <c r="D795" s="1" t="s">
        <v>1253</v>
      </c>
      <c r="E795" s="1" t="s">
        <v>1260</v>
      </c>
      <c r="F795" s="1" t="s">
        <v>49</v>
      </c>
      <c r="G795" s="1" t="str">
        <f>"01975020130"</f>
        <v>01975020130</v>
      </c>
      <c r="I795" s="1" t="s">
        <v>1737</v>
      </c>
      <c r="L795" s="1" t="s">
        <v>44</v>
      </c>
      <c r="M795" s="1" t="s">
        <v>1255</v>
      </c>
      <c r="AG795" s="1" t="s">
        <v>1738</v>
      </c>
      <c r="AH795" s="2">
        <v>44971</v>
      </c>
      <c r="AI795" s="2">
        <v>45291</v>
      </c>
      <c r="AJ795" s="2">
        <v>44971</v>
      </c>
    </row>
    <row r="796" spans="1:36">
      <c r="A796" s="1" t="str">
        <f>"Z7439FE20E"</f>
        <v>Z7439FE20E</v>
      </c>
      <c r="B796" s="1" t="str">
        <f t="shared" si="22"/>
        <v>02406911202</v>
      </c>
      <c r="C796" s="1" t="s">
        <v>13</v>
      </c>
      <c r="D796" s="1" t="s">
        <v>1253</v>
      </c>
      <c r="E796" s="1" t="s">
        <v>1254</v>
      </c>
      <c r="F796" s="1" t="s">
        <v>49</v>
      </c>
      <c r="G796" s="1" t="str">
        <f>"06032681006"</f>
        <v>06032681006</v>
      </c>
      <c r="I796" s="1" t="s">
        <v>1351</v>
      </c>
      <c r="L796" s="1" t="s">
        <v>44</v>
      </c>
      <c r="M796" s="1" t="s">
        <v>1255</v>
      </c>
      <c r="AG796" s="1" t="s">
        <v>1739</v>
      </c>
      <c r="AH796" s="2">
        <v>44971</v>
      </c>
      <c r="AI796" s="2">
        <v>45291</v>
      </c>
      <c r="AJ796" s="2">
        <v>44971</v>
      </c>
    </row>
    <row r="797" spans="1:36">
      <c r="A797" s="1" t="str">
        <f>"Z9939FE13E"</f>
        <v>Z9939FE13E</v>
      </c>
      <c r="B797" s="1" t="str">
        <f t="shared" si="22"/>
        <v>02406911202</v>
      </c>
      <c r="C797" s="1" t="s">
        <v>13</v>
      </c>
      <c r="D797" s="1" t="s">
        <v>1253</v>
      </c>
      <c r="E797" s="1" t="s">
        <v>1254</v>
      </c>
      <c r="F797" s="1" t="s">
        <v>49</v>
      </c>
      <c r="G797" s="1" t="str">
        <f>"01228210371"</f>
        <v>01228210371</v>
      </c>
      <c r="I797" s="1" t="s">
        <v>1425</v>
      </c>
      <c r="L797" s="1" t="s">
        <v>44</v>
      </c>
      <c r="M797" s="1" t="s">
        <v>1255</v>
      </c>
      <c r="AG797" s="1" t="s">
        <v>1740</v>
      </c>
      <c r="AH797" s="2">
        <v>44971</v>
      </c>
      <c r="AI797" s="2">
        <v>45291</v>
      </c>
      <c r="AJ797" s="2">
        <v>44971</v>
      </c>
    </row>
    <row r="798" spans="1:36">
      <c r="A798" s="1" t="str">
        <f>"Z563907963"</f>
        <v>Z563907963</v>
      </c>
      <c r="B798" s="1" t="str">
        <f t="shared" si="22"/>
        <v>02406911202</v>
      </c>
      <c r="C798" s="1" t="s">
        <v>13</v>
      </c>
      <c r="D798" s="1" t="s">
        <v>1741</v>
      </c>
      <c r="E798" s="1" t="s">
        <v>1742</v>
      </c>
      <c r="F798" s="1" t="s">
        <v>39</v>
      </c>
      <c r="G798" s="1" t="str">
        <f>"02958520542"</f>
        <v>02958520542</v>
      </c>
      <c r="I798" s="1" t="s">
        <v>1743</v>
      </c>
      <c r="L798" s="1" t="s">
        <v>44</v>
      </c>
      <c r="M798" s="1" t="s">
        <v>1744</v>
      </c>
      <c r="AG798" s="1" t="s">
        <v>1745</v>
      </c>
      <c r="AH798" s="2">
        <v>44927</v>
      </c>
      <c r="AI798" s="2">
        <v>45291</v>
      </c>
      <c r="AJ798" s="2">
        <v>44927</v>
      </c>
    </row>
    <row r="799" spans="1:36">
      <c r="A799" s="1" t="str">
        <f>"96204316CE"</f>
        <v>96204316CE</v>
      </c>
      <c r="B799" s="1" t="str">
        <f t="shared" si="22"/>
        <v>02406911202</v>
      </c>
      <c r="C799" s="1" t="s">
        <v>13</v>
      </c>
      <c r="D799" s="1" t="s">
        <v>37</v>
      </c>
      <c r="E799" s="1" t="s">
        <v>1746</v>
      </c>
      <c r="F799" s="1" t="s">
        <v>117</v>
      </c>
      <c r="G799" s="1" t="str">
        <f>"02344710484"</f>
        <v>02344710484</v>
      </c>
      <c r="I799" s="1" t="s">
        <v>1747</v>
      </c>
      <c r="L799" s="1" t="s">
        <v>44</v>
      </c>
      <c r="M799" s="1" t="s">
        <v>1748</v>
      </c>
      <c r="AG799" s="1" t="s">
        <v>1749</v>
      </c>
      <c r="AH799" s="2">
        <v>44943</v>
      </c>
      <c r="AI799" s="2">
        <v>46022</v>
      </c>
      <c r="AJ799" s="2">
        <v>44943</v>
      </c>
    </row>
    <row r="800" spans="1:36">
      <c r="A800" s="1" t="str">
        <f>"9672940A99"</f>
        <v>9672940A99</v>
      </c>
      <c r="B800" s="1" t="str">
        <f t="shared" si="22"/>
        <v>02406911202</v>
      </c>
      <c r="C800" s="1" t="s">
        <v>13</v>
      </c>
      <c r="D800" s="1" t="s">
        <v>37</v>
      </c>
      <c r="E800" s="1" t="s">
        <v>1750</v>
      </c>
      <c r="F800" s="1" t="s">
        <v>117</v>
      </c>
      <c r="G800" s="1" t="str">
        <f>"00674840152"</f>
        <v>00674840152</v>
      </c>
      <c r="I800" s="1" t="s">
        <v>190</v>
      </c>
      <c r="L800" s="1" t="s">
        <v>44</v>
      </c>
      <c r="M800" s="1" t="s">
        <v>1751</v>
      </c>
      <c r="AG800" s="1" t="s">
        <v>1752</v>
      </c>
      <c r="AH800" s="2">
        <v>44988</v>
      </c>
      <c r="AI800" s="2">
        <v>46010</v>
      </c>
      <c r="AJ800" s="2">
        <v>44988</v>
      </c>
    </row>
    <row r="801" spans="1:36">
      <c r="A801" s="1" t="str">
        <f>"Z2B3A0E9BC"</f>
        <v>Z2B3A0E9BC</v>
      </c>
      <c r="B801" s="1" t="str">
        <f t="shared" si="22"/>
        <v>02406911202</v>
      </c>
      <c r="C801" s="1" t="s">
        <v>13</v>
      </c>
      <c r="D801" s="1" t="s">
        <v>205</v>
      </c>
      <c r="E801" s="1" t="s">
        <v>1753</v>
      </c>
      <c r="F801" s="1" t="s">
        <v>39</v>
      </c>
      <c r="G801" s="1" t="str">
        <f>"04107330377"</f>
        <v>04107330377</v>
      </c>
      <c r="I801" s="1" t="s">
        <v>1754</v>
      </c>
      <c r="L801" s="1" t="s">
        <v>44</v>
      </c>
      <c r="M801" s="1" t="s">
        <v>1755</v>
      </c>
      <c r="AG801" s="1" t="s">
        <v>1756</v>
      </c>
      <c r="AH801" s="2">
        <v>44927</v>
      </c>
      <c r="AI801" s="2">
        <v>45291</v>
      </c>
      <c r="AJ801" s="2">
        <v>44927</v>
      </c>
    </row>
    <row r="802" spans="1:36">
      <c r="A802" s="1" t="str">
        <f>"ZBD3A0E7E8"</f>
        <v>ZBD3A0E7E8</v>
      </c>
      <c r="B802" s="1" t="str">
        <f t="shared" si="22"/>
        <v>02406911202</v>
      </c>
      <c r="C802" s="1" t="s">
        <v>13</v>
      </c>
      <c r="D802" s="1" t="s">
        <v>205</v>
      </c>
      <c r="E802" s="1" t="s">
        <v>1753</v>
      </c>
      <c r="F802" s="1" t="s">
        <v>39</v>
      </c>
      <c r="G802" s="1" t="str">
        <f>"03620341200"</f>
        <v>03620341200</v>
      </c>
      <c r="I802" s="1" t="s">
        <v>1757</v>
      </c>
      <c r="L802" s="1" t="s">
        <v>44</v>
      </c>
      <c r="M802" s="1" t="s">
        <v>1758</v>
      </c>
      <c r="AG802" s="1" t="s">
        <v>1759</v>
      </c>
      <c r="AH802" s="2">
        <v>44927</v>
      </c>
      <c r="AI802" s="2">
        <v>45291</v>
      </c>
      <c r="AJ802" s="2">
        <v>44927</v>
      </c>
    </row>
    <row r="803" spans="1:36">
      <c r="A803" s="1" t="str">
        <f>"Z1B3A0E85D"</f>
        <v>Z1B3A0E85D</v>
      </c>
      <c r="B803" s="1" t="str">
        <f t="shared" si="22"/>
        <v>02406911202</v>
      </c>
      <c r="C803" s="1" t="s">
        <v>13</v>
      </c>
      <c r="D803" s="1" t="s">
        <v>205</v>
      </c>
      <c r="E803" s="1" t="s">
        <v>1753</v>
      </c>
      <c r="F803" s="1" t="s">
        <v>39</v>
      </c>
      <c r="G803" s="1" t="str">
        <f>"02086311202"</f>
        <v>02086311202</v>
      </c>
      <c r="I803" s="1" t="s">
        <v>1760</v>
      </c>
      <c r="L803" s="1" t="s">
        <v>44</v>
      </c>
      <c r="M803" s="1" t="s">
        <v>1761</v>
      </c>
      <c r="AG803" s="1" t="s">
        <v>1762</v>
      </c>
      <c r="AH803" s="2">
        <v>44927</v>
      </c>
      <c r="AI803" s="2">
        <v>45291</v>
      </c>
      <c r="AJ803" s="2">
        <v>44927</v>
      </c>
    </row>
    <row r="804" spans="1:36">
      <c r="A804" s="1" t="str">
        <f>"ZE13A0E7CE"</f>
        <v>ZE13A0E7CE</v>
      </c>
      <c r="B804" s="1" t="str">
        <f t="shared" si="22"/>
        <v>02406911202</v>
      </c>
      <c r="C804" s="1" t="s">
        <v>13</v>
      </c>
      <c r="D804" s="1" t="s">
        <v>205</v>
      </c>
      <c r="E804" s="1" t="s">
        <v>1753</v>
      </c>
      <c r="F804" s="1" t="s">
        <v>39</v>
      </c>
      <c r="G804" s="1" t="str">
        <f>"01514181203"</f>
        <v>01514181203</v>
      </c>
      <c r="I804" s="1" t="s">
        <v>1763</v>
      </c>
      <c r="L804" s="1" t="s">
        <v>44</v>
      </c>
      <c r="M804" s="1" t="s">
        <v>1764</v>
      </c>
      <c r="AG804" s="1" t="s">
        <v>1765</v>
      </c>
      <c r="AH804" s="2">
        <v>44927</v>
      </c>
      <c r="AI804" s="2">
        <v>45291</v>
      </c>
      <c r="AJ804" s="2">
        <v>44927</v>
      </c>
    </row>
    <row r="805" spans="1:36">
      <c r="A805" s="1" t="str">
        <f>"ZBE3A0E928"</f>
        <v>ZBE3A0E928</v>
      </c>
      <c r="B805" s="1" t="str">
        <f t="shared" si="22"/>
        <v>02406911202</v>
      </c>
      <c r="C805" s="1" t="s">
        <v>13</v>
      </c>
      <c r="D805" s="1" t="s">
        <v>205</v>
      </c>
      <c r="E805" s="1" t="s">
        <v>1753</v>
      </c>
      <c r="F805" s="1" t="s">
        <v>39</v>
      </c>
      <c r="G805" s="1" t="str">
        <f>"00731780961"</f>
        <v>00731780961</v>
      </c>
      <c r="I805" s="1" t="s">
        <v>1766</v>
      </c>
      <c r="L805" s="1" t="s">
        <v>44</v>
      </c>
      <c r="M805" s="1" t="s">
        <v>1767</v>
      </c>
      <c r="AG805" s="1" t="s">
        <v>1768</v>
      </c>
      <c r="AH805" s="2">
        <v>44927</v>
      </c>
      <c r="AI805" s="2">
        <v>45291</v>
      </c>
      <c r="AJ805" s="2">
        <v>44927</v>
      </c>
    </row>
    <row r="806" spans="1:36">
      <c r="A806" s="1" t="str">
        <f>"Z4539E26F6"</f>
        <v>Z4539E26F6</v>
      </c>
      <c r="B806" s="1" t="str">
        <f t="shared" si="22"/>
        <v>02406911202</v>
      </c>
      <c r="C806" s="1" t="s">
        <v>13</v>
      </c>
      <c r="D806" s="1" t="s">
        <v>1253</v>
      </c>
      <c r="E806" s="1" t="s">
        <v>1254</v>
      </c>
      <c r="F806" s="1" t="s">
        <v>49</v>
      </c>
      <c r="G806" s="1" t="str">
        <f>"06032681006"</f>
        <v>06032681006</v>
      </c>
      <c r="I806" s="1" t="s">
        <v>1351</v>
      </c>
      <c r="L806" s="1" t="s">
        <v>44</v>
      </c>
      <c r="M806" s="1" t="s">
        <v>1255</v>
      </c>
      <c r="AG806" s="1" t="s">
        <v>1769</v>
      </c>
      <c r="AH806" s="2">
        <v>44966</v>
      </c>
      <c r="AI806" s="2">
        <v>45291</v>
      </c>
      <c r="AJ806" s="2">
        <v>44966</v>
      </c>
    </row>
    <row r="807" spans="1:36">
      <c r="A807" s="1" t="str">
        <f>"ZC939E68EF"</f>
        <v>ZC939E68EF</v>
      </c>
      <c r="B807" s="1" t="str">
        <f t="shared" si="22"/>
        <v>02406911202</v>
      </c>
      <c r="C807" s="1" t="s">
        <v>13</v>
      </c>
      <c r="D807" s="1" t="s">
        <v>1253</v>
      </c>
      <c r="E807" s="1" t="s">
        <v>1317</v>
      </c>
      <c r="F807" s="1" t="s">
        <v>49</v>
      </c>
      <c r="G807" s="1" t="str">
        <f>"02173550282"</f>
        <v>02173550282</v>
      </c>
      <c r="I807" s="1" t="s">
        <v>634</v>
      </c>
      <c r="L807" s="1" t="s">
        <v>44</v>
      </c>
      <c r="M807" s="1" t="s">
        <v>1255</v>
      </c>
      <c r="AG807" s="1" t="s">
        <v>1770</v>
      </c>
      <c r="AH807" s="2">
        <v>44967</v>
      </c>
      <c r="AI807" s="2">
        <v>45291</v>
      </c>
      <c r="AJ807" s="2">
        <v>44967</v>
      </c>
    </row>
    <row r="808" spans="1:36">
      <c r="A808" s="1" t="str">
        <f>"ZD839E9628"</f>
        <v>ZD839E9628</v>
      </c>
      <c r="B808" s="1" t="str">
        <f t="shared" si="22"/>
        <v>02406911202</v>
      </c>
      <c r="C808" s="1" t="s">
        <v>13</v>
      </c>
      <c r="D808" s="1" t="s">
        <v>1253</v>
      </c>
      <c r="E808" s="1" t="s">
        <v>1260</v>
      </c>
      <c r="F808" s="1" t="s">
        <v>49</v>
      </c>
      <c r="G808" s="1" t="str">
        <f>"04289840268"</f>
        <v>04289840268</v>
      </c>
      <c r="I808" s="1" t="s">
        <v>1296</v>
      </c>
      <c r="L808" s="1" t="s">
        <v>44</v>
      </c>
      <c r="M808" s="1" t="s">
        <v>1255</v>
      </c>
      <c r="AG808" s="1" t="s">
        <v>1771</v>
      </c>
      <c r="AH808" s="2">
        <v>44967</v>
      </c>
      <c r="AI808" s="2">
        <v>45291</v>
      </c>
      <c r="AJ808" s="2">
        <v>44967</v>
      </c>
    </row>
    <row r="809" spans="1:36">
      <c r="A809" s="1" t="str">
        <f>"Z2A39E9652"</f>
        <v>Z2A39E9652</v>
      </c>
      <c r="B809" s="1" t="str">
        <f t="shared" si="22"/>
        <v>02406911202</v>
      </c>
      <c r="C809" s="1" t="s">
        <v>13</v>
      </c>
      <c r="D809" s="1" t="s">
        <v>1253</v>
      </c>
      <c r="E809" s="1" t="s">
        <v>1260</v>
      </c>
      <c r="F809" s="1" t="s">
        <v>49</v>
      </c>
      <c r="G809" s="1" t="str">
        <f>"04289840268"</f>
        <v>04289840268</v>
      </c>
      <c r="I809" s="1" t="s">
        <v>1296</v>
      </c>
      <c r="L809" s="1" t="s">
        <v>44</v>
      </c>
      <c r="M809" s="1" t="s">
        <v>1255</v>
      </c>
      <c r="AG809" s="1" t="s">
        <v>1772</v>
      </c>
      <c r="AH809" s="2">
        <v>44967</v>
      </c>
      <c r="AI809" s="2">
        <v>45291</v>
      </c>
      <c r="AJ809" s="2">
        <v>44967</v>
      </c>
    </row>
    <row r="810" spans="1:36">
      <c r="A810" s="1" t="str">
        <f>"ZCC39EB056"</f>
        <v>ZCC39EB056</v>
      </c>
      <c r="B810" s="1" t="str">
        <f t="shared" si="22"/>
        <v>02406911202</v>
      </c>
      <c r="C810" s="1" t="s">
        <v>13</v>
      </c>
      <c r="D810" s="1" t="s">
        <v>205</v>
      </c>
      <c r="E810" s="1" t="s">
        <v>1773</v>
      </c>
      <c r="F810" s="1" t="s">
        <v>49</v>
      </c>
      <c r="G810" s="1" t="str">
        <f>"03831150366"</f>
        <v>03831150366</v>
      </c>
      <c r="I810" s="1" t="s">
        <v>1774</v>
      </c>
      <c r="L810" s="1" t="s">
        <v>44</v>
      </c>
      <c r="M810" s="1" t="s">
        <v>1775</v>
      </c>
      <c r="AG810" s="1" t="s">
        <v>1776</v>
      </c>
      <c r="AH810" s="2">
        <v>44927</v>
      </c>
      <c r="AI810" s="2">
        <v>45291</v>
      </c>
      <c r="AJ810" s="2">
        <v>44927</v>
      </c>
    </row>
    <row r="811" spans="1:36">
      <c r="A811" s="1" t="str">
        <f>"ZB039921F9"</f>
        <v>ZB039921F9</v>
      </c>
      <c r="B811" s="1" t="str">
        <f t="shared" si="22"/>
        <v>02406911202</v>
      </c>
      <c r="C811" s="1" t="s">
        <v>13</v>
      </c>
      <c r="D811" s="1" t="s">
        <v>1312</v>
      </c>
      <c r="E811" s="1" t="s">
        <v>1693</v>
      </c>
      <c r="F811" s="1" t="s">
        <v>49</v>
      </c>
      <c r="G811" s="1" t="str">
        <f>"11575580151"</f>
        <v>11575580151</v>
      </c>
      <c r="I811" s="1" t="s">
        <v>290</v>
      </c>
      <c r="L811" s="1" t="s">
        <v>44</v>
      </c>
      <c r="M811" s="1" t="s">
        <v>1314</v>
      </c>
      <c r="AG811" s="1" t="s">
        <v>1777</v>
      </c>
      <c r="AH811" s="2">
        <v>44945</v>
      </c>
      <c r="AI811" s="2">
        <v>45657</v>
      </c>
      <c r="AJ811" s="2">
        <v>44945</v>
      </c>
    </row>
    <row r="812" spans="1:36">
      <c r="A812" s="1" t="str">
        <f>"954326790E"</f>
        <v>954326790E</v>
      </c>
      <c r="B812" s="1" t="str">
        <f t="shared" si="22"/>
        <v>02406911202</v>
      </c>
      <c r="C812" s="1" t="s">
        <v>13</v>
      </c>
      <c r="D812" s="1" t="s">
        <v>37</v>
      </c>
      <c r="E812" s="1" t="s">
        <v>1778</v>
      </c>
      <c r="F812" s="1" t="s">
        <v>39</v>
      </c>
      <c r="G812" s="1" t="str">
        <f>"10181220152"</f>
        <v>10181220152</v>
      </c>
      <c r="I812" s="1" t="s">
        <v>1779</v>
      </c>
      <c r="L812" s="1" t="s">
        <v>44</v>
      </c>
      <c r="M812" s="1" t="s">
        <v>1780</v>
      </c>
      <c r="AG812" s="1" t="s">
        <v>1781</v>
      </c>
      <c r="AH812" s="2">
        <v>44965</v>
      </c>
      <c r="AI812" s="2">
        <v>45511</v>
      </c>
      <c r="AJ812" s="2">
        <v>44965</v>
      </c>
    </row>
    <row r="813" spans="1:36">
      <c r="A813" s="1" t="str">
        <f>"ZBC39F56A0"</f>
        <v>ZBC39F56A0</v>
      </c>
      <c r="B813" s="1" t="str">
        <f t="shared" si="22"/>
        <v>02406911202</v>
      </c>
      <c r="C813" s="1" t="s">
        <v>13</v>
      </c>
      <c r="D813" s="1" t="s">
        <v>205</v>
      </c>
      <c r="E813" s="1" t="s">
        <v>1782</v>
      </c>
      <c r="F813" s="1" t="s">
        <v>49</v>
      </c>
      <c r="G813" s="1" t="str">
        <f>"02228881203"</f>
        <v>02228881203</v>
      </c>
      <c r="I813" s="1" t="s">
        <v>1783</v>
      </c>
      <c r="L813" s="1" t="s">
        <v>44</v>
      </c>
      <c r="M813" s="1" t="s">
        <v>1784</v>
      </c>
      <c r="AG813" s="1" t="s">
        <v>1785</v>
      </c>
      <c r="AH813" s="2">
        <v>44986</v>
      </c>
      <c r="AI813" s="2">
        <v>47118</v>
      </c>
      <c r="AJ813" s="2">
        <v>44986</v>
      </c>
    </row>
    <row r="814" spans="1:36">
      <c r="A814" s="1" t="str">
        <f>"Z0239FF45A"</f>
        <v>Z0239FF45A</v>
      </c>
      <c r="B814" s="1" t="str">
        <f t="shared" si="22"/>
        <v>02406911202</v>
      </c>
      <c r="C814" s="1" t="s">
        <v>13</v>
      </c>
      <c r="D814" s="1" t="s">
        <v>1312</v>
      </c>
      <c r="E814" s="1" t="s">
        <v>1786</v>
      </c>
      <c r="F814" s="1" t="s">
        <v>49</v>
      </c>
      <c r="G814" s="1" t="str">
        <f>"01678220235"</f>
        <v>01678220235</v>
      </c>
      <c r="I814" s="1" t="s">
        <v>1787</v>
      </c>
      <c r="L814" s="1" t="s">
        <v>44</v>
      </c>
      <c r="M814" s="1" t="s">
        <v>1314</v>
      </c>
      <c r="AG814" s="1" t="s">
        <v>1788</v>
      </c>
      <c r="AH814" s="2">
        <v>44973</v>
      </c>
      <c r="AI814" s="2">
        <v>45107</v>
      </c>
      <c r="AJ814" s="2">
        <v>44973</v>
      </c>
    </row>
    <row r="815" spans="1:36">
      <c r="A815" s="1" t="str">
        <f>"Z7739B2AED"</f>
        <v>Z7739B2AED</v>
      </c>
      <c r="B815" s="1" t="str">
        <f t="shared" si="22"/>
        <v>02406911202</v>
      </c>
      <c r="C815" s="1" t="s">
        <v>13</v>
      </c>
      <c r="D815" s="1" t="s">
        <v>37</v>
      </c>
      <c r="E815" s="1" t="s">
        <v>1789</v>
      </c>
      <c r="F815" s="1" t="s">
        <v>117</v>
      </c>
      <c r="G815" s="1" t="str">
        <f>"02108510401"</f>
        <v>02108510401</v>
      </c>
      <c r="I815" s="1" t="s">
        <v>1790</v>
      </c>
      <c r="L815" s="1" t="s">
        <v>44</v>
      </c>
      <c r="M815" s="1" t="s">
        <v>1791</v>
      </c>
      <c r="AG815" s="1" t="s">
        <v>1792</v>
      </c>
      <c r="AH815" s="2">
        <v>44927</v>
      </c>
      <c r="AI815" s="2">
        <v>45473</v>
      </c>
      <c r="AJ815" s="2">
        <v>44927</v>
      </c>
    </row>
    <row r="816" spans="1:36">
      <c r="A816" s="1" t="str">
        <f>"9625616D98"</f>
        <v>9625616D98</v>
      </c>
      <c r="B816" s="1" t="str">
        <f t="shared" si="22"/>
        <v>02406911202</v>
      </c>
      <c r="C816" s="1" t="s">
        <v>13</v>
      </c>
      <c r="D816" s="1" t="s">
        <v>37</v>
      </c>
      <c r="E816" s="1" t="s">
        <v>1793</v>
      </c>
      <c r="F816" s="1" t="s">
        <v>117</v>
      </c>
      <c r="G816" s="1" t="str">
        <f>"01837320207"</f>
        <v>01837320207</v>
      </c>
      <c r="I816" s="1" t="s">
        <v>1794</v>
      </c>
      <c r="L816" s="1" t="s">
        <v>44</v>
      </c>
      <c r="M816" s="1" t="s">
        <v>1795</v>
      </c>
      <c r="AG816" s="1" t="s">
        <v>1796</v>
      </c>
      <c r="AH816" s="2">
        <v>44927</v>
      </c>
      <c r="AI816" s="2">
        <v>45473</v>
      </c>
      <c r="AJ816" s="2">
        <v>44927</v>
      </c>
    </row>
    <row r="817" spans="1:36">
      <c r="A817" s="1" t="str">
        <f>"ZA33A05D84"</f>
        <v>ZA33A05D84</v>
      </c>
      <c r="B817" s="1" t="str">
        <f t="shared" si="22"/>
        <v>02406911202</v>
      </c>
      <c r="C817" s="1" t="s">
        <v>13</v>
      </c>
      <c r="D817" s="1" t="s">
        <v>1253</v>
      </c>
      <c r="E817" s="1" t="s">
        <v>1254</v>
      </c>
      <c r="F817" s="1" t="s">
        <v>49</v>
      </c>
      <c r="G817" s="1" t="str">
        <f>"03260081207"</f>
        <v>03260081207</v>
      </c>
      <c r="I817" s="1" t="s">
        <v>1653</v>
      </c>
      <c r="L817" s="1" t="s">
        <v>44</v>
      </c>
      <c r="M817" s="1" t="s">
        <v>1255</v>
      </c>
      <c r="AG817" s="1" t="s">
        <v>1797</v>
      </c>
      <c r="AH817" s="2">
        <v>44977</v>
      </c>
      <c r="AI817" s="2">
        <v>45291</v>
      </c>
      <c r="AJ817" s="2">
        <v>44977</v>
      </c>
    </row>
    <row r="818" spans="1:36">
      <c r="A818" s="1" t="str">
        <f>"Z363A05D8D"</f>
        <v>Z363A05D8D</v>
      </c>
      <c r="B818" s="1" t="str">
        <f t="shared" si="22"/>
        <v>02406911202</v>
      </c>
      <c r="C818" s="1" t="s">
        <v>13</v>
      </c>
      <c r="D818" s="1" t="s">
        <v>1253</v>
      </c>
      <c r="E818" s="1" t="s">
        <v>1254</v>
      </c>
      <c r="F818" s="1" t="s">
        <v>49</v>
      </c>
      <c r="G818" s="1" t="str">
        <f>"11206730159"</f>
        <v>11206730159</v>
      </c>
      <c r="I818" s="1" t="s">
        <v>192</v>
      </c>
      <c r="L818" s="1" t="s">
        <v>44</v>
      </c>
      <c r="M818" s="1" t="s">
        <v>1255</v>
      </c>
      <c r="AG818" s="1" t="s">
        <v>1798</v>
      </c>
      <c r="AH818" s="2">
        <v>44977</v>
      </c>
      <c r="AI818" s="2">
        <v>45291</v>
      </c>
      <c r="AJ818" s="2">
        <v>44977</v>
      </c>
    </row>
    <row r="819" spans="1:36">
      <c r="A819" s="1" t="str">
        <f>"Z7D3A065E7"</f>
        <v>Z7D3A065E7</v>
      </c>
      <c r="B819" s="1" t="str">
        <f t="shared" si="22"/>
        <v>02406911202</v>
      </c>
      <c r="C819" s="1" t="s">
        <v>13</v>
      </c>
      <c r="D819" s="1" t="s">
        <v>1253</v>
      </c>
      <c r="E819" s="1" t="s">
        <v>1270</v>
      </c>
      <c r="F819" s="1" t="s">
        <v>49</v>
      </c>
      <c r="G819" s="1" t="str">
        <f>"02691021204"</f>
        <v>02691021204</v>
      </c>
      <c r="I819" s="1" t="s">
        <v>1799</v>
      </c>
      <c r="L819" s="1" t="s">
        <v>44</v>
      </c>
      <c r="M819" s="1" t="s">
        <v>1255</v>
      </c>
      <c r="AG819" s="1" t="s">
        <v>124</v>
      </c>
      <c r="AH819" s="2">
        <v>44977</v>
      </c>
      <c r="AI819" s="2">
        <v>45291</v>
      </c>
      <c r="AJ819" s="2">
        <v>44977</v>
      </c>
    </row>
    <row r="820" spans="1:36">
      <c r="A820" s="1" t="str">
        <f>"953642178F"</f>
        <v>953642178F</v>
      </c>
      <c r="B820" s="1" t="str">
        <f t="shared" si="22"/>
        <v>02406911202</v>
      </c>
      <c r="C820" s="1" t="s">
        <v>13</v>
      </c>
      <c r="D820" s="1" t="s">
        <v>205</v>
      </c>
      <c r="E820" s="1" t="s">
        <v>1800</v>
      </c>
      <c r="F820" s="1" t="s">
        <v>117</v>
      </c>
      <c r="G820" s="1" t="str">
        <f>"01098680372"</f>
        <v>01098680372</v>
      </c>
      <c r="I820" s="1" t="s">
        <v>1801</v>
      </c>
      <c r="L820" s="1" t="s">
        <v>44</v>
      </c>
      <c r="M820" s="1" t="s">
        <v>1802</v>
      </c>
      <c r="AG820" s="1" t="s">
        <v>1803</v>
      </c>
      <c r="AH820" s="2">
        <v>44927</v>
      </c>
      <c r="AI820" s="2">
        <v>45291</v>
      </c>
      <c r="AJ820" s="2">
        <v>44927</v>
      </c>
    </row>
    <row r="821" spans="1:36">
      <c r="A821" s="1" t="str">
        <f>"9565956C9B"</f>
        <v>9565956C9B</v>
      </c>
      <c r="B821" s="1" t="str">
        <f t="shared" si="22"/>
        <v>02406911202</v>
      </c>
      <c r="C821" s="1" t="s">
        <v>13</v>
      </c>
      <c r="D821" s="1" t="s">
        <v>205</v>
      </c>
      <c r="E821" s="1" t="s">
        <v>1804</v>
      </c>
      <c r="F821" s="1" t="s">
        <v>117</v>
      </c>
      <c r="G821" s="1" t="str">
        <f>"03043241201"</f>
        <v>03043241201</v>
      </c>
      <c r="I821" s="1" t="s">
        <v>1805</v>
      </c>
      <c r="L821" s="1" t="s">
        <v>44</v>
      </c>
      <c r="M821" s="1" t="s">
        <v>1806</v>
      </c>
      <c r="AG821" s="1" t="s">
        <v>1807</v>
      </c>
      <c r="AH821" s="2">
        <v>44927</v>
      </c>
      <c r="AI821" s="2">
        <v>45291</v>
      </c>
      <c r="AJ821" s="2">
        <v>44927</v>
      </c>
    </row>
    <row r="822" spans="1:36">
      <c r="A822" s="1" t="str">
        <f>"95657144E9"</f>
        <v>95657144E9</v>
      </c>
      <c r="B822" s="1" t="str">
        <f t="shared" si="22"/>
        <v>02406911202</v>
      </c>
      <c r="C822" s="1" t="s">
        <v>13</v>
      </c>
      <c r="D822" s="1" t="s">
        <v>205</v>
      </c>
      <c r="E822" s="1" t="s">
        <v>1808</v>
      </c>
      <c r="F822" s="1" t="s">
        <v>117</v>
      </c>
      <c r="G822" s="1" t="str">
        <f>"02690880402"</f>
        <v>02690880402</v>
      </c>
      <c r="I822" s="1" t="s">
        <v>1809</v>
      </c>
      <c r="L822" s="1" t="s">
        <v>44</v>
      </c>
      <c r="M822" s="1" t="s">
        <v>1810</v>
      </c>
      <c r="AG822" s="1" t="s">
        <v>124</v>
      </c>
      <c r="AH822" s="2">
        <v>44927</v>
      </c>
      <c r="AI822" s="2">
        <v>45291</v>
      </c>
      <c r="AJ822" s="2">
        <v>44927</v>
      </c>
    </row>
    <row r="823" spans="1:36">
      <c r="A823" s="1" t="str">
        <f>"956555735A"</f>
        <v>956555735A</v>
      </c>
      <c r="B823" s="1" t="str">
        <f t="shared" si="22"/>
        <v>02406911202</v>
      </c>
      <c r="C823" s="1" t="s">
        <v>13</v>
      </c>
      <c r="D823" s="1" t="s">
        <v>205</v>
      </c>
      <c r="E823" s="1" t="s">
        <v>1811</v>
      </c>
      <c r="F823" s="1" t="s">
        <v>117</v>
      </c>
      <c r="G823" s="1" t="str">
        <f>"01088170392"</f>
        <v>01088170392</v>
      </c>
      <c r="I823" s="1" t="s">
        <v>1812</v>
      </c>
      <c r="L823" s="1" t="s">
        <v>44</v>
      </c>
      <c r="M823" s="1" t="s">
        <v>1813</v>
      </c>
      <c r="AG823" s="1" t="s">
        <v>1814</v>
      </c>
      <c r="AH823" s="2">
        <v>44927</v>
      </c>
      <c r="AI823" s="2">
        <v>45291</v>
      </c>
      <c r="AJ823" s="2">
        <v>44927</v>
      </c>
    </row>
    <row r="824" spans="1:36">
      <c r="A824" s="1" t="str">
        <f>"9536526E33"</f>
        <v>9536526E33</v>
      </c>
      <c r="B824" s="1" t="str">
        <f t="shared" si="22"/>
        <v>02406911202</v>
      </c>
      <c r="C824" s="1" t="s">
        <v>13</v>
      </c>
      <c r="D824" s="1" t="s">
        <v>205</v>
      </c>
      <c r="E824" s="1" t="s">
        <v>1815</v>
      </c>
      <c r="F824" s="1" t="s">
        <v>117</v>
      </c>
      <c r="G824" s="1" t="str">
        <f>"03043241201"</f>
        <v>03043241201</v>
      </c>
      <c r="I824" s="1" t="s">
        <v>1805</v>
      </c>
      <c r="L824" s="1" t="s">
        <v>44</v>
      </c>
      <c r="M824" s="1" t="s">
        <v>1816</v>
      </c>
      <c r="AG824" s="1" t="s">
        <v>1817</v>
      </c>
      <c r="AH824" s="2">
        <v>44927</v>
      </c>
      <c r="AI824" s="2">
        <v>45291</v>
      </c>
      <c r="AJ824" s="2">
        <v>44927</v>
      </c>
    </row>
    <row r="825" spans="1:36">
      <c r="A825" s="1" t="str">
        <f>"955278578F"</f>
        <v>955278578F</v>
      </c>
      <c r="B825" s="1" t="str">
        <f t="shared" si="22"/>
        <v>02406911202</v>
      </c>
      <c r="C825" s="1" t="s">
        <v>13</v>
      </c>
      <c r="D825" s="1" t="s">
        <v>205</v>
      </c>
      <c r="E825" s="1" t="s">
        <v>1818</v>
      </c>
      <c r="F825" s="1" t="s">
        <v>117</v>
      </c>
      <c r="G825" s="1" t="str">
        <f>"03337111201"</f>
        <v>03337111201</v>
      </c>
      <c r="I825" s="1" t="s">
        <v>1819</v>
      </c>
      <c r="L825" s="1" t="s">
        <v>44</v>
      </c>
      <c r="M825" s="1" t="s">
        <v>1820</v>
      </c>
      <c r="AG825" s="1" t="s">
        <v>1821</v>
      </c>
      <c r="AH825" s="2">
        <v>44927</v>
      </c>
      <c r="AI825" s="2">
        <v>45291</v>
      </c>
      <c r="AJ825" s="2">
        <v>44927</v>
      </c>
    </row>
    <row r="826" spans="1:36">
      <c r="A826" s="1" t="str">
        <f>"Z4C39CCDC3"</f>
        <v>Z4C39CCDC3</v>
      </c>
      <c r="B826" s="1" t="str">
        <f t="shared" si="22"/>
        <v>02406911202</v>
      </c>
      <c r="C826" s="1" t="s">
        <v>13</v>
      </c>
      <c r="D826" s="1" t="s">
        <v>1253</v>
      </c>
      <c r="E826" s="1" t="s">
        <v>1270</v>
      </c>
      <c r="F826" s="1" t="s">
        <v>49</v>
      </c>
      <c r="G826" s="1" t="str">
        <f>"10926940965"</f>
        <v>10926940965</v>
      </c>
      <c r="I826" s="1" t="s">
        <v>1822</v>
      </c>
      <c r="L826" s="1" t="s">
        <v>44</v>
      </c>
      <c r="M826" s="1" t="s">
        <v>1255</v>
      </c>
      <c r="AG826" s="1" t="s">
        <v>1823</v>
      </c>
      <c r="AH826" s="2">
        <v>44960</v>
      </c>
      <c r="AI826" s="2">
        <v>45291</v>
      </c>
      <c r="AJ826" s="2">
        <v>44960</v>
      </c>
    </row>
    <row r="827" spans="1:36">
      <c r="A827" s="1" t="str">
        <f>"Z4839CD582"</f>
        <v>Z4839CD582</v>
      </c>
      <c r="B827" s="1" t="str">
        <f t="shared" si="22"/>
        <v>02406911202</v>
      </c>
      <c r="C827" s="1" t="s">
        <v>13</v>
      </c>
      <c r="D827" s="1" t="s">
        <v>1312</v>
      </c>
      <c r="E827" s="1" t="s">
        <v>1824</v>
      </c>
      <c r="F827" s="1" t="s">
        <v>49</v>
      </c>
      <c r="G827" s="1" t="str">
        <f>"00495451205"</f>
        <v>00495451205</v>
      </c>
      <c r="I827" s="1" t="s">
        <v>1320</v>
      </c>
      <c r="L827" s="1" t="s">
        <v>44</v>
      </c>
      <c r="M827" s="1" t="s">
        <v>1314</v>
      </c>
      <c r="AG827" s="1" t="s">
        <v>1825</v>
      </c>
      <c r="AH827" s="2">
        <v>44960</v>
      </c>
      <c r="AI827" s="2">
        <v>45291</v>
      </c>
      <c r="AJ827" s="2">
        <v>44960</v>
      </c>
    </row>
    <row r="828" spans="1:36">
      <c r="A828" s="1" t="str">
        <f>"96365447AC"</f>
        <v>96365447AC</v>
      </c>
      <c r="B828" s="1" t="str">
        <f t="shared" si="22"/>
        <v>02406911202</v>
      </c>
      <c r="C828" s="1" t="s">
        <v>13</v>
      </c>
      <c r="D828" s="1" t="s">
        <v>37</v>
      </c>
      <c r="E828" s="1" t="s">
        <v>1826</v>
      </c>
      <c r="F828" s="1" t="s">
        <v>117</v>
      </c>
      <c r="G828" s="1" t="str">
        <f>"02789580590"</f>
        <v>02789580590</v>
      </c>
      <c r="I828" s="1" t="s">
        <v>1827</v>
      </c>
      <c r="L828" s="1" t="s">
        <v>44</v>
      </c>
      <c r="M828" s="1" t="s">
        <v>1828</v>
      </c>
      <c r="AG828" s="1" t="s">
        <v>1829</v>
      </c>
      <c r="AH828" s="2">
        <v>44943</v>
      </c>
      <c r="AI828" s="2">
        <v>46022</v>
      </c>
      <c r="AJ828" s="2">
        <v>44943</v>
      </c>
    </row>
    <row r="829" spans="1:36">
      <c r="A829" s="1" t="str">
        <f>"Z3539DCC5E"</f>
        <v>Z3539DCC5E</v>
      </c>
      <c r="B829" s="1" t="str">
        <f t="shared" si="22"/>
        <v>02406911202</v>
      </c>
      <c r="C829" s="1" t="s">
        <v>13</v>
      </c>
      <c r="D829" s="1" t="s">
        <v>1257</v>
      </c>
      <c r="E829" s="1" t="s">
        <v>1830</v>
      </c>
      <c r="F829" s="1" t="s">
        <v>49</v>
      </c>
      <c r="G829" s="1" t="str">
        <f>"10782860158"</f>
        <v>10782860158</v>
      </c>
      <c r="I829" s="1" t="s">
        <v>1831</v>
      </c>
      <c r="L829" s="1" t="s">
        <v>44</v>
      </c>
      <c r="M829" s="1" t="s">
        <v>103</v>
      </c>
      <c r="AG829" s="1" t="s">
        <v>124</v>
      </c>
      <c r="AH829" s="2">
        <v>44965</v>
      </c>
      <c r="AI829" s="2">
        <v>45291</v>
      </c>
      <c r="AJ829" s="2">
        <v>44965</v>
      </c>
    </row>
    <row r="830" spans="1:36">
      <c r="A830" s="1" t="str">
        <f>"Z5639BFEA3"</f>
        <v>Z5639BFEA3</v>
      </c>
      <c r="B830" s="1" t="str">
        <f t="shared" si="22"/>
        <v>02406911202</v>
      </c>
      <c r="C830" s="1" t="s">
        <v>13</v>
      </c>
      <c r="D830" s="1" t="s">
        <v>205</v>
      </c>
      <c r="E830" s="1" t="s">
        <v>1832</v>
      </c>
      <c r="F830" s="1" t="s">
        <v>39</v>
      </c>
      <c r="G830" s="1" t="str">
        <f>"01067740397"</f>
        <v>01067740397</v>
      </c>
      <c r="I830" s="1" t="s">
        <v>1833</v>
      </c>
      <c r="L830" s="1" t="s">
        <v>44</v>
      </c>
      <c r="M830" s="1" t="s">
        <v>1834</v>
      </c>
      <c r="AG830" s="1" t="s">
        <v>1835</v>
      </c>
      <c r="AH830" s="2">
        <v>44927</v>
      </c>
      <c r="AI830" s="2">
        <v>45291</v>
      </c>
      <c r="AJ830" s="2">
        <v>44927</v>
      </c>
    </row>
    <row r="831" spans="1:36">
      <c r="A831" s="1" t="str">
        <f>"Z7939B0926"</f>
        <v>Z7939B0926</v>
      </c>
      <c r="B831" s="1" t="str">
        <f t="shared" si="22"/>
        <v>02406911202</v>
      </c>
      <c r="C831" s="1" t="s">
        <v>13</v>
      </c>
      <c r="D831" s="1" t="s">
        <v>1257</v>
      </c>
      <c r="E831" s="1" t="s">
        <v>1836</v>
      </c>
      <c r="F831" s="1" t="s">
        <v>49</v>
      </c>
      <c r="G831" s="1" t="str">
        <f>"00228060349"</f>
        <v>00228060349</v>
      </c>
      <c r="I831" s="1" t="s">
        <v>1837</v>
      </c>
      <c r="L831" s="1" t="s">
        <v>44</v>
      </c>
      <c r="M831" s="1" t="s">
        <v>1838</v>
      </c>
      <c r="AG831" s="1" t="s">
        <v>1839</v>
      </c>
      <c r="AH831" s="2">
        <v>44972</v>
      </c>
      <c r="AI831" s="2">
        <v>45306</v>
      </c>
      <c r="AJ831" s="2">
        <v>44972</v>
      </c>
    </row>
    <row r="832" spans="1:36">
      <c r="A832" s="1" t="str">
        <f>"Z6B39E6917"</f>
        <v>Z6B39E6917</v>
      </c>
      <c r="B832" s="1" t="str">
        <f t="shared" si="22"/>
        <v>02406911202</v>
      </c>
      <c r="C832" s="1" t="s">
        <v>13</v>
      </c>
      <c r="D832" s="1" t="s">
        <v>1253</v>
      </c>
      <c r="E832" s="1" t="s">
        <v>1840</v>
      </c>
      <c r="F832" s="1" t="s">
        <v>49</v>
      </c>
      <c r="G832" s="1" t="str">
        <f>"11160660152"</f>
        <v>11160660152</v>
      </c>
      <c r="I832" s="1" t="s">
        <v>306</v>
      </c>
      <c r="L832" s="1" t="s">
        <v>44</v>
      </c>
      <c r="M832" s="1" t="s">
        <v>1255</v>
      </c>
      <c r="AG832" s="1" t="s">
        <v>81</v>
      </c>
      <c r="AH832" s="2">
        <v>44970</v>
      </c>
      <c r="AI832" s="2">
        <v>45291</v>
      </c>
      <c r="AJ832" s="2">
        <v>44970</v>
      </c>
    </row>
    <row r="833" spans="1:36">
      <c r="A833" s="1" t="str">
        <f>"Z3E39B8283"</f>
        <v>Z3E39B8283</v>
      </c>
      <c r="B833" s="1" t="str">
        <f t="shared" si="22"/>
        <v>02406911202</v>
      </c>
      <c r="C833" s="1" t="s">
        <v>13</v>
      </c>
      <c r="D833" s="1" t="s">
        <v>205</v>
      </c>
      <c r="E833" s="1" t="s">
        <v>1753</v>
      </c>
      <c r="F833" s="1" t="s">
        <v>39</v>
      </c>
      <c r="G833" s="1" t="str">
        <f>"04211390374"</f>
        <v>04211390374</v>
      </c>
      <c r="I833" s="1" t="s">
        <v>1841</v>
      </c>
      <c r="L833" s="1" t="s">
        <v>44</v>
      </c>
      <c r="M833" s="1" t="s">
        <v>1842</v>
      </c>
      <c r="AG833" s="1" t="s">
        <v>1843</v>
      </c>
      <c r="AH833" s="2">
        <v>44927</v>
      </c>
      <c r="AI833" s="2">
        <v>46022</v>
      </c>
      <c r="AJ833" s="2">
        <v>44927</v>
      </c>
    </row>
    <row r="834" spans="1:36">
      <c r="A834" s="1" t="str">
        <f>"ZDB39F6ABF"</f>
        <v>ZDB39F6ABF</v>
      </c>
      <c r="B834" s="1" t="str">
        <f t="shared" si="22"/>
        <v>02406911202</v>
      </c>
      <c r="C834" s="1" t="s">
        <v>13</v>
      </c>
      <c r="D834" s="1" t="s">
        <v>1253</v>
      </c>
      <c r="E834" s="1" t="s">
        <v>1387</v>
      </c>
      <c r="F834" s="1" t="s">
        <v>49</v>
      </c>
      <c r="G834" s="1" t="str">
        <f>"10771570156"</f>
        <v>10771570156</v>
      </c>
      <c r="I834" s="1" t="s">
        <v>1844</v>
      </c>
      <c r="L834" s="1" t="s">
        <v>44</v>
      </c>
      <c r="M834" s="1" t="s">
        <v>153</v>
      </c>
      <c r="AG834" s="1" t="s">
        <v>1845</v>
      </c>
      <c r="AH834" s="2">
        <v>44972</v>
      </c>
      <c r="AI834" s="2">
        <v>45291</v>
      </c>
      <c r="AJ834" s="2">
        <v>44972</v>
      </c>
    </row>
    <row r="835" spans="1:36">
      <c r="A835" s="1" t="str">
        <f>"Z7639F6CF0"</f>
        <v>Z7639F6CF0</v>
      </c>
      <c r="B835" s="1" t="str">
        <f t="shared" si="22"/>
        <v>02406911202</v>
      </c>
      <c r="C835" s="1" t="s">
        <v>13</v>
      </c>
      <c r="D835" s="1" t="s">
        <v>1253</v>
      </c>
      <c r="E835" s="1" t="s">
        <v>1260</v>
      </c>
      <c r="F835" s="1" t="s">
        <v>49</v>
      </c>
      <c r="G835" s="1" t="str">
        <f>"06032681006"</f>
        <v>06032681006</v>
      </c>
      <c r="I835" s="1" t="s">
        <v>1351</v>
      </c>
      <c r="L835" s="1" t="s">
        <v>44</v>
      </c>
      <c r="M835" s="1" t="s">
        <v>1255</v>
      </c>
      <c r="AG835" s="1" t="s">
        <v>1846</v>
      </c>
      <c r="AH835" s="2">
        <v>44972</v>
      </c>
      <c r="AI835" s="2">
        <v>45291</v>
      </c>
      <c r="AJ835" s="2">
        <v>44972</v>
      </c>
    </row>
    <row r="836" spans="1:36">
      <c r="A836" s="1" t="str">
        <f>"ZAE39F6D53"</f>
        <v>ZAE39F6D53</v>
      </c>
      <c r="B836" s="1" t="str">
        <f t="shared" si="22"/>
        <v>02406911202</v>
      </c>
      <c r="C836" s="1" t="s">
        <v>13</v>
      </c>
      <c r="D836" s="1" t="s">
        <v>1253</v>
      </c>
      <c r="E836" s="1" t="s">
        <v>1254</v>
      </c>
      <c r="F836" s="1" t="s">
        <v>49</v>
      </c>
      <c r="G836" s="1" t="str">
        <f>"01740391204"</f>
        <v>01740391204</v>
      </c>
      <c r="I836" s="1" t="s">
        <v>1847</v>
      </c>
      <c r="L836" s="1" t="s">
        <v>44</v>
      </c>
      <c r="M836" s="1" t="s">
        <v>1255</v>
      </c>
      <c r="AG836" s="1" t="s">
        <v>1848</v>
      </c>
      <c r="AH836" s="2">
        <v>44972</v>
      </c>
      <c r="AI836" s="2">
        <v>45291</v>
      </c>
      <c r="AJ836" s="2">
        <v>44972</v>
      </c>
    </row>
    <row r="837" spans="1:36">
      <c r="A837" s="1" t="str">
        <f>"Z8739B42D9"</f>
        <v>Z8739B42D9</v>
      </c>
      <c r="B837" s="1" t="str">
        <f t="shared" si="22"/>
        <v>02406911202</v>
      </c>
      <c r="C837" s="1" t="s">
        <v>13</v>
      </c>
      <c r="D837" s="1" t="s">
        <v>1257</v>
      </c>
      <c r="E837" s="1" t="s">
        <v>1849</v>
      </c>
      <c r="F837" s="1" t="s">
        <v>49</v>
      </c>
      <c r="G837" s="1" t="str">
        <f>"00228060349"</f>
        <v>00228060349</v>
      </c>
      <c r="I837" s="1" t="s">
        <v>1837</v>
      </c>
      <c r="L837" s="1" t="s">
        <v>44</v>
      </c>
      <c r="M837" s="1" t="s">
        <v>103</v>
      </c>
      <c r="AG837" s="1" t="s">
        <v>1850</v>
      </c>
      <c r="AH837" s="2">
        <v>44953</v>
      </c>
      <c r="AI837" s="2">
        <v>45291</v>
      </c>
      <c r="AJ837" s="2">
        <v>44953</v>
      </c>
    </row>
    <row r="838" spans="1:36">
      <c r="A838" s="1" t="str">
        <f>"9634247023"</f>
        <v>9634247023</v>
      </c>
      <c r="B838" s="1" t="str">
        <f t="shared" ref="B838:B901" si="23">"02406911202"</f>
        <v>02406911202</v>
      </c>
      <c r="C838" s="1" t="s">
        <v>13</v>
      </c>
      <c r="D838" s="1" t="s">
        <v>37</v>
      </c>
      <c r="E838" s="1" t="s">
        <v>1851</v>
      </c>
      <c r="F838" s="1" t="s">
        <v>117</v>
      </c>
      <c r="G838" s="1" t="str">
        <f>"06741870965"</f>
        <v>06741870965</v>
      </c>
      <c r="I838" s="1" t="s">
        <v>1852</v>
      </c>
      <c r="L838" s="1" t="s">
        <v>44</v>
      </c>
      <c r="M838" s="1" t="s">
        <v>1853</v>
      </c>
      <c r="AG838" s="1" t="s">
        <v>1854</v>
      </c>
      <c r="AH838" s="2">
        <v>44943</v>
      </c>
      <c r="AI838" s="2">
        <v>46022</v>
      </c>
      <c r="AJ838" s="2">
        <v>44943</v>
      </c>
    </row>
    <row r="839" spans="1:36">
      <c r="A839" s="1" t="str">
        <f>"Z3C39C6F3F"</f>
        <v>Z3C39C6F3F</v>
      </c>
      <c r="B839" s="1" t="str">
        <f t="shared" si="23"/>
        <v>02406911202</v>
      </c>
      <c r="C839" s="1" t="s">
        <v>13</v>
      </c>
      <c r="D839" s="1" t="s">
        <v>1253</v>
      </c>
      <c r="E839" s="1" t="s">
        <v>1270</v>
      </c>
      <c r="F839" s="1" t="s">
        <v>49</v>
      </c>
      <c r="G839" s="1" t="str">
        <f>"12785290151"</f>
        <v>12785290151</v>
      </c>
      <c r="I839" s="1" t="s">
        <v>1855</v>
      </c>
      <c r="L839" s="1" t="s">
        <v>44</v>
      </c>
      <c r="M839" s="1" t="s">
        <v>1255</v>
      </c>
      <c r="AG839" s="1" t="s">
        <v>1856</v>
      </c>
      <c r="AH839" s="2">
        <v>44959</v>
      </c>
      <c r="AI839" s="2">
        <v>45291</v>
      </c>
      <c r="AJ839" s="2">
        <v>44959</v>
      </c>
    </row>
    <row r="840" spans="1:36">
      <c r="A840" s="1" t="str">
        <f>"Z4739C4FE5"</f>
        <v>Z4739C4FE5</v>
      </c>
      <c r="B840" s="1" t="str">
        <f t="shared" si="23"/>
        <v>02406911202</v>
      </c>
      <c r="C840" s="1" t="s">
        <v>13</v>
      </c>
      <c r="D840" s="1" t="s">
        <v>205</v>
      </c>
      <c r="E840" s="1" t="s">
        <v>1686</v>
      </c>
      <c r="F840" s="1" t="s">
        <v>39</v>
      </c>
      <c r="G840" s="1" t="str">
        <f>"00745280347"</f>
        <v>00745280347</v>
      </c>
      <c r="I840" s="1" t="s">
        <v>1857</v>
      </c>
      <c r="L840" s="1" t="s">
        <v>44</v>
      </c>
      <c r="M840" s="1" t="s">
        <v>1858</v>
      </c>
      <c r="AG840" s="1" t="s">
        <v>1859</v>
      </c>
      <c r="AH840" s="2">
        <v>44927</v>
      </c>
      <c r="AI840" s="2">
        <v>45291</v>
      </c>
      <c r="AJ840" s="2">
        <v>44927</v>
      </c>
    </row>
    <row r="841" spans="1:36">
      <c r="A841" s="1" t="str">
        <f>"ZEB39C4FFA"</f>
        <v>ZEB39C4FFA</v>
      </c>
      <c r="B841" s="1" t="str">
        <f t="shared" si="23"/>
        <v>02406911202</v>
      </c>
      <c r="C841" s="1" t="s">
        <v>13</v>
      </c>
      <c r="D841" s="1" t="s">
        <v>205</v>
      </c>
      <c r="E841" s="1" t="s">
        <v>1686</v>
      </c>
      <c r="F841" s="1" t="s">
        <v>39</v>
      </c>
      <c r="G841" s="1" t="str">
        <f>"01690800337"</f>
        <v>01690800337</v>
      </c>
      <c r="I841" s="1" t="s">
        <v>1860</v>
      </c>
      <c r="L841" s="1" t="s">
        <v>44</v>
      </c>
      <c r="M841" s="1" t="s">
        <v>509</v>
      </c>
      <c r="AG841" s="1" t="s">
        <v>124</v>
      </c>
      <c r="AH841" s="2">
        <v>44927</v>
      </c>
      <c r="AI841" s="2">
        <v>45291</v>
      </c>
      <c r="AJ841" s="2">
        <v>44927</v>
      </c>
    </row>
    <row r="842" spans="1:36">
      <c r="A842" s="1" t="str">
        <f>"Z3939C500B"</f>
        <v>Z3939C500B</v>
      </c>
      <c r="B842" s="1" t="str">
        <f t="shared" si="23"/>
        <v>02406911202</v>
      </c>
      <c r="C842" s="1" t="s">
        <v>13</v>
      </c>
      <c r="D842" s="1" t="s">
        <v>205</v>
      </c>
      <c r="E842" s="1" t="s">
        <v>1686</v>
      </c>
      <c r="F842" s="1" t="s">
        <v>39</v>
      </c>
      <c r="G842" s="1" t="str">
        <f>"00294320353"</f>
        <v>00294320353</v>
      </c>
      <c r="I842" s="1" t="s">
        <v>1861</v>
      </c>
      <c r="L842" s="1" t="s">
        <v>44</v>
      </c>
      <c r="M842" s="1" t="s">
        <v>1862</v>
      </c>
      <c r="AG842" s="1" t="s">
        <v>1863</v>
      </c>
      <c r="AH842" s="2">
        <v>44927</v>
      </c>
      <c r="AI842" s="2">
        <v>45291</v>
      </c>
      <c r="AJ842" s="2">
        <v>44927</v>
      </c>
    </row>
    <row r="843" spans="1:36">
      <c r="A843" s="1" t="str">
        <f>"Z3D39C5024"</f>
        <v>Z3D39C5024</v>
      </c>
      <c r="B843" s="1" t="str">
        <f t="shared" si="23"/>
        <v>02406911202</v>
      </c>
      <c r="C843" s="1" t="s">
        <v>13</v>
      </c>
      <c r="D843" s="1" t="s">
        <v>205</v>
      </c>
      <c r="E843" s="1" t="s">
        <v>1686</v>
      </c>
      <c r="F843" s="1" t="s">
        <v>39</v>
      </c>
      <c r="G843" s="1" t="str">
        <f>"00681310363"</f>
        <v>00681310363</v>
      </c>
      <c r="I843" s="1" t="s">
        <v>1864</v>
      </c>
      <c r="L843" s="1" t="s">
        <v>44</v>
      </c>
      <c r="M843" s="1" t="s">
        <v>1865</v>
      </c>
      <c r="AG843" s="1" t="s">
        <v>1866</v>
      </c>
      <c r="AH843" s="2">
        <v>44927</v>
      </c>
      <c r="AI843" s="2">
        <v>45291</v>
      </c>
      <c r="AJ843" s="2">
        <v>44927</v>
      </c>
    </row>
    <row r="844" spans="1:36">
      <c r="A844" s="1" t="str">
        <f>"ZE039B8309"</f>
        <v>ZE039B8309</v>
      </c>
      <c r="B844" s="1" t="str">
        <f t="shared" si="23"/>
        <v>02406911202</v>
      </c>
      <c r="C844" s="1" t="s">
        <v>13</v>
      </c>
      <c r="D844" s="1" t="s">
        <v>205</v>
      </c>
      <c r="E844" s="1" t="s">
        <v>1867</v>
      </c>
      <c r="F844" s="1" t="s">
        <v>39</v>
      </c>
      <c r="G844" s="1" t="str">
        <f>"03772490375"</f>
        <v>03772490375</v>
      </c>
      <c r="I844" s="1" t="s">
        <v>1868</v>
      </c>
      <c r="L844" s="1" t="s">
        <v>44</v>
      </c>
      <c r="M844" s="1" t="s">
        <v>1869</v>
      </c>
      <c r="AG844" s="1" t="s">
        <v>1870</v>
      </c>
      <c r="AH844" s="2">
        <v>44927</v>
      </c>
      <c r="AI844" s="2">
        <v>45291</v>
      </c>
      <c r="AJ844" s="2">
        <v>44927</v>
      </c>
    </row>
    <row r="845" spans="1:36">
      <c r="A845" s="1" t="str">
        <f>"Z4E39FE394"</f>
        <v>Z4E39FE394</v>
      </c>
      <c r="B845" s="1" t="str">
        <f t="shared" si="23"/>
        <v>02406911202</v>
      </c>
      <c r="C845" s="1" t="s">
        <v>13</v>
      </c>
      <c r="D845" s="1" t="s">
        <v>1253</v>
      </c>
      <c r="E845" s="1" t="s">
        <v>1254</v>
      </c>
      <c r="F845" s="1" t="s">
        <v>49</v>
      </c>
      <c r="G845" s="1" t="str">
        <f>"00495451205"</f>
        <v>00495451205</v>
      </c>
      <c r="I845" s="1" t="s">
        <v>1320</v>
      </c>
      <c r="L845" s="1" t="s">
        <v>44</v>
      </c>
      <c r="M845" s="1" t="s">
        <v>1255</v>
      </c>
      <c r="AG845" s="1" t="s">
        <v>1871</v>
      </c>
      <c r="AH845" s="2">
        <v>44972</v>
      </c>
      <c r="AI845" s="2">
        <v>45291</v>
      </c>
      <c r="AJ845" s="2">
        <v>44972</v>
      </c>
    </row>
    <row r="846" spans="1:36">
      <c r="A846" s="1" t="str">
        <f>"Z9239FE347"</f>
        <v>Z9239FE347</v>
      </c>
      <c r="B846" s="1" t="str">
        <f t="shared" si="23"/>
        <v>02406911202</v>
      </c>
      <c r="C846" s="1" t="s">
        <v>13</v>
      </c>
      <c r="D846" s="1" t="s">
        <v>1253</v>
      </c>
      <c r="E846" s="1" t="s">
        <v>1254</v>
      </c>
      <c r="F846" s="1" t="s">
        <v>49</v>
      </c>
      <c r="G846" s="1" t="str">
        <f>"09238800156"</f>
        <v>09238800156</v>
      </c>
      <c r="I846" s="1" t="s">
        <v>88</v>
      </c>
      <c r="L846" s="1" t="s">
        <v>44</v>
      </c>
      <c r="M846" s="1" t="s">
        <v>1255</v>
      </c>
      <c r="AG846" s="1" t="s">
        <v>1872</v>
      </c>
      <c r="AH846" s="2">
        <v>44971</v>
      </c>
      <c r="AI846" s="2">
        <v>45291</v>
      </c>
      <c r="AJ846" s="2">
        <v>44971</v>
      </c>
    </row>
    <row r="847" spans="1:36">
      <c r="A847" s="1" t="str">
        <f>"Z9239F65C7"</f>
        <v>Z9239F65C7</v>
      </c>
      <c r="B847" s="1" t="str">
        <f t="shared" si="23"/>
        <v>02406911202</v>
      </c>
      <c r="C847" s="1" t="s">
        <v>13</v>
      </c>
      <c r="D847" s="1" t="s">
        <v>205</v>
      </c>
      <c r="E847" s="1" t="s">
        <v>1686</v>
      </c>
      <c r="F847" s="1" t="s">
        <v>39</v>
      </c>
      <c r="G847" s="1" t="str">
        <f>"01067740397"</f>
        <v>01067740397</v>
      </c>
      <c r="I847" s="1" t="s">
        <v>1833</v>
      </c>
      <c r="L847" s="1" t="s">
        <v>44</v>
      </c>
      <c r="M847" s="1" t="s">
        <v>917</v>
      </c>
      <c r="AG847" s="1" t="s">
        <v>1873</v>
      </c>
      <c r="AH847" s="2">
        <v>44927</v>
      </c>
      <c r="AI847" s="2">
        <v>45291</v>
      </c>
      <c r="AJ847" s="2">
        <v>44927</v>
      </c>
    </row>
    <row r="848" spans="1:36">
      <c r="A848" s="1" t="str">
        <f>"ZCB3A081CA"</f>
        <v>ZCB3A081CA</v>
      </c>
      <c r="B848" s="1" t="str">
        <f t="shared" si="23"/>
        <v>02406911202</v>
      </c>
      <c r="C848" s="1" t="s">
        <v>13</v>
      </c>
      <c r="D848" s="1" t="s">
        <v>1312</v>
      </c>
      <c r="E848" s="1" t="s">
        <v>1874</v>
      </c>
      <c r="F848" s="1" t="s">
        <v>49</v>
      </c>
      <c r="G848" s="1" t="str">
        <f>"00577981202"</f>
        <v>00577981202</v>
      </c>
      <c r="I848" s="1" t="s">
        <v>1875</v>
      </c>
      <c r="L848" s="1" t="s">
        <v>44</v>
      </c>
      <c r="M848" s="1" t="s">
        <v>1735</v>
      </c>
      <c r="AG848" s="1" t="s">
        <v>124</v>
      </c>
      <c r="AH848" s="2">
        <v>44977</v>
      </c>
      <c r="AI848" s="2">
        <v>45291</v>
      </c>
      <c r="AJ848" s="2">
        <v>44977</v>
      </c>
    </row>
    <row r="849" spans="1:36">
      <c r="A849" s="1" t="str">
        <f>"ZDB3A0822E"</f>
        <v>ZDB3A0822E</v>
      </c>
      <c r="B849" s="1" t="str">
        <f t="shared" si="23"/>
        <v>02406911202</v>
      </c>
      <c r="C849" s="1" t="s">
        <v>13</v>
      </c>
      <c r="D849" s="1" t="s">
        <v>1253</v>
      </c>
      <c r="E849" s="1" t="s">
        <v>1260</v>
      </c>
      <c r="F849" s="1" t="s">
        <v>49</v>
      </c>
      <c r="G849" s="1" t="str">
        <f>"01630000287"</f>
        <v>01630000287</v>
      </c>
      <c r="I849" s="1" t="s">
        <v>1470</v>
      </c>
      <c r="L849" s="1" t="s">
        <v>44</v>
      </c>
      <c r="M849" s="1" t="s">
        <v>1255</v>
      </c>
      <c r="AG849" s="1" t="s">
        <v>1876</v>
      </c>
      <c r="AH849" s="2">
        <v>44977</v>
      </c>
      <c r="AI849" s="2">
        <v>45291</v>
      </c>
      <c r="AJ849" s="2">
        <v>44977</v>
      </c>
    </row>
    <row r="850" spans="1:36">
      <c r="A850" s="1" t="str">
        <f>"Z2F3A081E7"</f>
        <v>Z2F3A081E7</v>
      </c>
      <c r="B850" s="1" t="str">
        <f t="shared" si="23"/>
        <v>02406911202</v>
      </c>
      <c r="C850" s="1" t="s">
        <v>13</v>
      </c>
      <c r="D850" s="1" t="s">
        <v>1253</v>
      </c>
      <c r="E850" s="1" t="s">
        <v>1254</v>
      </c>
      <c r="F850" s="1" t="s">
        <v>49</v>
      </c>
      <c r="G850" s="1" t="str">
        <f>"05896100962"</f>
        <v>05896100962</v>
      </c>
      <c r="I850" s="1" t="s">
        <v>1413</v>
      </c>
      <c r="L850" s="1" t="s">
        <v>44</v>
      </c>
      <c r="M850" s="1" t="s">
        <v>1255</v>
      </c>
      <c r="AG850" s="1" t="s">
        <v>1414</v>
      </c>
      <c r="AH850" s="2">
        <v>44977</v>
      </c>
      <c r="AI850" s="2">
        <v>45291</v>
      </c>
      <c r="AJ850" s="2">
        <v>44977</v>
      </c>
    </row>
    <row r="851" spans="1:36">
      <c r="A851" s="1" t="str">
        <f>"ZB839ED12F"</f>
        <v>ZB839ED12F</v>
      </c>
      <c r="B851" s="1" t="str">
        <f t="shared" si="23"/>
        <v>02406911202</v>
      </c>
      <c r="C851" s="1" t="s">
        <v>13</v>
      </c>
      <c r="D851" s="1" t="s">
        <v>205</v>
      </c>
      <c r="E851" s="1" t="s">
        <v>1877</v>
      </c>
      <c r="F851" s="1" t="s">
        <v>49</v>
      </c>
      <c r="G851" s="1" t="str">
        <f>"01489471001"</f>
        <v>01489471001</v>
      </c>
      <c r="I851" s="1" t="s">
        <v>210</v>
      </c>
      <c r="L851" s="1" t="s">
        <v>44</v>
      </c>
      <c r="M851" s="1" t="s">
        <v>1255</v>
      </c>
      <c r="AG851" s="1" t="s">
        <v>124</v>
      </c>
      <c r="AH851" s="2">
        <v>44984</v>
      </c>
      <c r="AI851" s="2">
        <v>45046</v>
      </c>
      <c r="AJ851" s="2">
        <v>44984</v>
      </c>
    </row>
    <row r="852" spans="1:36">
      <c r="A852" s="1" t="str">
        <f t="shared" ref="A852:A863" si="24">"Z6F3992AED"</f>
        <v>Z6F3992AED</v>
      </c>
      <c r="B852" s="1" t="str">
        <f t="shared" si="23"/>
        <v>02406911202</v>
      </c>
      <c r="C852" s="1" t="s">
        <v>13</v>
      </c>
      <c r="D852" s="1" t="s">
        <v>1741</v>
      </c>
      <c r="E852" s="1" t="s">
        <v>1878</v>
      </c>
      <c r="F852" s="1" t="s">
        <v>39</v>
      </c>
      <c r="G852" s="1" t="str">
        <f>"02138390360"</f>
        <v>02138390360</v>
      </c>
      <c r="I852" s="1" t="s">
        <v>1879</v>
      </c>
      <c r="L852" s="1" t="s">
        <v>44</v>
      </c>
      <c r="M852" s="1" t="s">
        <v>1880</v>
      </c>
      <c r="AG852" s="1" t="s">
        <v>1880</v>
      </c>
      <c r="AH852" s="2">
        <v>44945</v>
      </c>
      <c r="AI852" s="2">
        <v>45291</v>
      </c>
      <c r="AJ852" s="2">
        <v>44945</v>
      </c>
    </row>
    <row r="853" spans="1:36">
      <c r="A853" s="1" t="str">
        <f t="shared" si="24"/>
        <v>Z6F3992AED</v>
      </c>
      <c r="B853" s="1" t="str">
        <f t="shared" si="23"/>
        <v>02406911202</v>
      </c>
      <c r="C853" s="1" t="s">
        <v>13</v>
      </c>
      <c r="D853" s="1" t="s">
        <v>1741</v>
      </c>
      <c r="E853" s="1" t="s">
        <v>1878</v>
      </c>
      <c r="F853" s="1" t="s">
        <v>39</v>
      </c>
      <c r="G853" s="1" t="str">
        <f>"03359340837"</f>
        <v>03359340837</v>
      </c>
      <c r="I853" s="1" t="s">
        <v>1881</v>
      </c>
      <c r="L853" s="1" t="s">
        <v>41</v>
      </c>
      <c r="AJ853" s="2">
        <v>44945</v>
      </c>
    </row>
    <row r="854" spans="1:36">
      <c r="A854" s="1" t="str">
        <f t="shared" si="24"/>
        <v>Z6F3992AED</v>
      </c>
      <c r="B854" s="1" t="str">
        <f t="shared" si="23"/>
        <v>02406911202</v>
      </c>
      <c r="C854" s="1" t="s">
        <v>13</v>
      </c>
      <c r="D854" s="1" t="s">
        <v>1741</v>
      </c>
      <c r="E854" s="1" t="s">
        <v>1878</v>
      </c>
      <c r="F854" s="1" t="s">
        <v>39</v>
      </c>
      <c r="G854" s="1" t="str">
        <f>"01121130197"</f>
        <v>01121130197</v>
      </c>
      <c r="I854" s="1" t="s">
        <v>1882</v>
      </c>
      <c r="L854" s="1" t="s">
        <v>41</v>
      </c>
      <c r="AJ854" s="2">
        <v>44945</v>
      </c>
    </row>
    <row r="855" spans="1:36">
      <c r="A855" s="1" t="str">
        <f t="shared" si="24"/>
        <v>Z6F3992AED</v>
      </c>
      <c r="B855" s="1" t="str">
        <f t="shared" si="23"/>
        <v>02406911202</v>
      </c>
      <c r="C855" s="1" t="s">
        <v>13</v>
      </c>
      <c r="D855" s="1" t="s">
        <v>1741</v>
      </c>
      <c r="E855" s="1" t="s">
        <v>1878</v>
      </c>
      <c r="F855" s="1" t="s">
        <v>39</v>
      </c>
      <c r="G855" s="1" t="str">
        <f>"00624681201"</f>
        <v>00624681201</v>
      </c>
      <c r="I855" s="1" t="s">
        <v>1883</v>
      </c>
      <c r="L855" s="1" t="s">
        <v>41</v>
      </c>
      <c r="AJ855" s="2">
        <v>44945</v>
      </c>
    </row>
    <row r="856" spans="1:36">
      <c r="A856" s="1" t="str">
        <f t="shared" si="24"/>
        <v>Z6F3992AED</v>
      </c>
      <c r="B856" s="1" t="str">
        <f t="shared" si="23"/>
        <v>02406911202</v>
      </c>
      <c r="C856" s="1" t="s">
        <v>13</v>
      </c>
      <c r="D856" s="1" t="s">
        <v>1741</v>
      </c>
      <c r="E856" s="1" t="s">
        <v>1878</v>
      </c>
      <c r="F856" s="1" t="s">
        <v>39</v>
      </c>
      <c r="G856" s="1" t="str">
        <f>"02376321200"</f>
        <v>02376321200</v>
      </c>
      <c r="I856" s="1" t="s">
        <v>1884</v>
      </c>
      <c r="L856" s="1" t="s">
        <v>41</v>
      </c>
      <c r="AJ856" s="2">
        <v>44945</v>
      </c>
    </row>
    <row r="857" spans="1:36">
      <c r="A857" s="1" t="str">
        <f t="shared" si="24"/>
        <v>Z6F3992AED</v>
      </c>
      <c r="B857" s="1" t="str">
        <f t="shared" si="23"/>
        <v>02406911202</v>
      </c>
      <c r="C857" s="1" t="s">
        <v>13</v>
      </c>
      <c r="D857" s="1" t="s">
        <v>1741</v>
      </c>
      <c r="E857" s="1" t="s">
        <v>1878</v>
      </c>
      <c r="F857" s="1" t="s">
        <v>39</v>
      </c>
      <c r="G857" s="1" t="str">
        <f>"03349070361"</f>
        <v>03349070361</v>
      </c>
      <c r="I857" s="1" t="s">
        <v>1885</v>
      </c>
      <c r="L857" s="1" t="s">
        <v>41</v>
      </c>
      <c r="AJ857" s="2">
        <v>44945</v>
      </c>
    </row>
    <row r="858" spans="1:36">
      <c r="A858" s="1" t="str">
        <f t="shared" si="24"/>
        <v>Z6F3992AED</v>
      </c>
      <c r="B858" s="1" t="str">
        <f t="shared" si="23"/>
        <v>02406911202</v>
      </c>
      <c r="C858" s="1" t="s">
        <v>13</v>
      </c>
      <c r="D858" s="1" t="s">
        <v>1741</v>
      </c>
      <c r="E858" s="1" t="s">
        <v>1878</v>
      </c>
      <c r="F858" s="1" t="s">
        <v>39</v>
      </c>
      <c r="G858" s="1" t="str">
        <f>"01866580812"</f>
        <v>01866580812</v>
      </c>
      <c r="I858" s="1" t="s">
        <v>1886</v>
      </c>
      <c r="L858" s="1" t="s">
        <v>41</v>
      </c>
      <c r="AJ858" s="2">
        <v>44945</v>
      </c>
    </row>
    <row r="859" spans="1:36">
      <c r="A859" s="1" t="str">
        <f t="shared" si="24"/>
        <v>Z6F3992AED</v>
      </c>
      <c r="B859" s="1" t="str">
        <f t="shared" si="23"/>
        <v>02406911202</v>
      </c>
      <c r="C859" s="1" t="s">
        <v>13</v>
      </c>
      <c r="D859" s="1" t="s">
        <v>1741</v>
      </c>
      <c r="E859" s="1" t="s">
        <v>1878</v>
      </c>
      <c r="F859" s="1" t="s">
        <v>39</v>
      </c>
      <c r="G859" s="1" t="str">
        <f>"02602810398"</f>
        <v>02602810398</v>
      </c>
      <c r="I859" s="1" t="s">
        <v>1887</v>
      </c>
      <c r="L859" s="1" t="s">
        <v>41</v>
      </c>
      <c r="AJ859" s="2">
        <v>44945</v>
      </c>
    </row>
    <row r="860" spans="1:36">
      <c r="A860" s="1" t="str">
        <f t="shared" si="24"/>
        <v>Z6F3992AED</v>
      </c>
      <c r="B860" s="1" t="str">
        <f t="shared" si="23"/>
        <v>02406911202</v>
      </c>
      <c r="C860" s="1" t="s">
        <v>13</v>
      </c>
      <c r="D860" s="1" t="s">
        <v>1741</v>
      </c>
      <c r="E860" s="1" t="s">
        <v>1878</v>
      </c>
      <c r="F860" s="1" t="s">
        <v>39</v>
      </c>
      <c r="G860" s="1" t="str">
        <f>"00740430335"</f>
        <v>00740430335</v>
      </c>
      <c r="I860" s="1" t="s">
        <v>1888</v>
      </c>
      <c r="L860" s="1" t="s">
        <v>41</v>
      </c>
      <c r="AJ860" s="2">
        <v>44945</v>
      </c>
    </row>
    <row r="861" spans="1:36">
      <c r="A861" s="1" t="str">
        <f t="shared" si="24"/>
        <v>Z6F3992AED</v>
      </c>
      <c r="B861" s="1" t="str">
        <f t="shared" si="23"/>
        <v>02406911202</v>
      </c>
      <c r="C861" s="1" t="s">
        <v>13</v>
      </c>
      <c r="D861" s="1" t="s">
        <v>1741</v>
      </c>
      <c r="E861" s="1" t="s">
        <v>1878</v>
      </c>
      <c r="F861" s="1" t="s">
        <v>39</v>
      </c>
      <c r="G861" s="1" t="str">
        <f>"02169281207"</f>
        <v>02169281207</v>
      </c>
      <c r="I861" s="1" t="s">
        <v>1524</v>
      </c>
      <c r="L861" s="1" t="s">
        <v>41</v>
      </c>
      <c r="AJ861" s="2">
        <v>44945</v>
      </c>
    </row>
    <row r="862" spans="1:36">
      <c r="A862" s="1" t="str">
        <f t="shared" si="24"/>
        <v>Z6F3992AED</v>
      </c>
      <c r="B862" s="1" t="str">
        <f t="shared" si="23"/>
        <v>02406911202</v>
      </c>
      <c r="C862" s="1" t="s">
        <v>13</v>
      </c>
      <c r="D862" s="1" t="s">
        <v>1741</v>
      </c>
      <c r="E862" s="1" t="s">
        <v>1878</v>
      </c>
      <c r="F862" s="1" t="s">
        <v>39</v>
      </c>
      <c r="G862" s="1" t="str">
        <f>"09588050154"</f>
        <v>09588050154</v>
      </c>
      <c r="I862" s="1" t="s">
        <v>1889</v>
      </c>
      <c r="L862" s="1" t="s">
        <v>41</v>
      </c>
      <c r="AJ862" s="2">
        <v>44945</v>
      </c>
    </row>
    <row r="863" spans="1:36">
      <c r="A863" s="1" t="str">
        <f t="shared" si="24"/>
        <v>Z6F3992AED</v>
      </c>
      <c r="B863" s="1" t="str">
        <f t="shared" si="23"/>
        <v>02406911202</v>
      </c>
      <c r="C863" s="1" t="s">
        <v>13</v>
      </c>
      <c r="D863" s="1" t="s">
        <v>1741</v>
      </c>
      <c r="E863" s="1" t="s">
        <v>1878</v>
      </c>
      <c r="F863" s="1" t="s">
        <v>39</v>
      </c>
      <c r="G863" s="1" t="str">
        <f>"02703241204"</f>
        <v>02703241204</v>
      </c>
      <c r="I863" s="1" t="s">
        <v>1890</v>
      </c>
      <c r="L863" s="1" t="s">
        <v>41</v>
      </c>
      <c r="AJ863" s="2">
        <v>44945</v>
      </c>
    </row>
    <row r="864" spans="1:36">
      <c r="A864" s="1" t="str">
        <f>"Z983A11AB9"</f>
        <v>Z983A11AB9</v>
      </c>
      <c r="B864" s="1" t="str">
        <f t="shared" si="23"/>
        <v>02406911202</v>
      </c>
      <c r="C864" s="1" t="s">
        <v>13</v>
      </c>
      <c r="D864" s="1" t="s">
        <v>1253</v>
      </c>
      <c r="E864" s="1" t="s">
        <v>1254</v>
      </c>
      <c r="F864" s="1" t="s">
        <v>49</v>
      </c>
      <c r="G864" s="1" t="str">
        <f>"01542210222"</f>
        <v>01542210222</v>
      </c>
      <c r="I864" s="1" t="s">
        <v>1891</v>
      </c>
      <c r="L864" s="1" t="s">
        <v>44</v>
      </c>
      <c r="M864" s="1" t="s">
        <v>1255</v>
      </c>
      <c r="AG864" s="1" t="s">
        <v>1892</v>
      </c>
      <c r="AH864" s="2">
        <v>44979</v>
      </c>
      <c r="AI864" s="2">
        <v>45291</v>
      </c>
      <c r="AJ864" s="2">
        <v>44979</v>
      </c>
    </row>
    <row r="865" spans="1:36">
      <c r="A865" s="1" t="str">
        <f>"9626471F29"</f>
        <v>9626471F29</v>
      </c>
      <c r="B865" s="1" t="str">
        <f t="shared" si="23"/>
        <v>02406911202</v>
      </c>
      <c r="C865" s="1" t="s">
        <v>13</v>
      </c>
      <c r="D865" s="1" t="s">
        <v>1312</v>
      </c>
      <c r="E865" s="1" t="s">
        <v>1893</v>
      </c>
      <c r="F865" s="1" t="s">
        <v>49</v>
      </c>
      <c r="G865" s="1" t="str">
        <f>"01597140282"</f>
        <v>01597140282</v>
      </c>
      <c r="I865" s="1" t="s">
        <v>1894</v>
      </c>
      <c r="L865" s="1" t="s">
        <v>44</v>
      </c>
      <c r="M865" s="1" t="s">
        <v>1895</v>
      </c>
      <c r="AG865" s="1" t="s">
        <v>1896</v>
      </c>
      <c r="AH865" s="2">
        <v>44986</v>
      </c>
      <c r="AI865" s="2">
        <v>45382</v>
      </c>
      <c r="AJ865" s="2">
        <v>44986</v>
      </c>
    </row>
    <row r="866" spans="1:36">
      <c r="A866" s="1" t="str">
        <f>"Z7E398D3C9"</f>
        <v>Z7E398D3C9</v>
      </c>
      <c r="B866" s="1" t="str">
        <f t="shared" si="23"/>
        <v>02406911202</v>
      </c>
      <c r="C866" s="1" t="s">
        <v>13</v>
      </c>
      <c r="D866" s="1" t="s">
        <v>1253</v>
      </c>
      <c r="E866" s="1" t="s">
        <v>1897</v>
      </c>
      <c r="F866" s="1" t="s">
        <v>49</v>
      </c>
      <c r="H866" s="1" t="str">
        <f>"10805330155"</f>
        <v>10805330155</v>
      </c>
      <c r="I866" s="1" t="s">
        <v>1898</v>
      </c>
      <c r="L866" s="1" t="s">
        <v>44</v>
      </c>
      <c r="M866" s="1" t="s">
        <v>153</v>
      </c>
      <c r="AG866" s="1" t="s">
        <v>1899</v>
      </c>
      <c r="AH866" s="2">
        <v>44927</v>
      </c>
      <c r="AI866" s="2">
        <v>45291</v>
      </c>
      <c r="AJ866" s="2">
        <v>44927</v>
      </c>
    </row>
    <row r="867" spans="1:36">
      <c r="A867" s="1" t="str">
        <f>"Z55398D771"</f>
        <v>Z55398D771</v>
      </c>
      <c r="B867" s="1" t="str">
        <f t="shared" si="23"/>
        <v>02406911202</v>
      </c>
      <c r="C867" s="1" t="s">
        <v>13</v>
      </c>
      <c r="D867" s="1" t="s">
        <v>1257</v>
      </c>
      <c r="E867" s="1" t="s">
        <v>1900</v>
      </c>
      <c r="F867" s="1" t="s">
        <v>49</v>
      </c>
      <c r="G867" s="1" t="str">
        <f>"00721920155"</f>
        <v>00721920155</v>
      </c>
      <c r="I867" s="1" t="s">
        <v>1901</v>
      </c>
      <c r="L867" s="1" t="s">
        <v>44</v>
      </c>
      <c r="M867" s="1" t="s">
        <v>1397</v>
      </c>
      <c r="AG867" s="1" t="s">
        <v>1902</v>
      </c>
      <c r="AH867" s="2">
        <v>44944</v>
      </c>
      <c r="AI867" s="2">
        <v>45291</v>
      </c>
      <c r="AJ867" s="2">
        <v>44944</v>
      </c>
    </row>
    <row r="868" spans="1:36">
      <c r="A868" s="1" t="str">
        <f>"9623949DF1"</f>
        <v>9623949DF1</v>
      </c>
      <c r="B868" s="1" t="str">
        <f t="shared" si="23"/>
        <v>02406911202</v>
      </c>
      <c r="C868" s="1" t="s">
        <v>13</v>
      </c>
      <c r="D868" s="1" t="s">
        <v>37</v>
      </c>
      <c r="E868" s="1" t="s">
        <v>1903</v>
      </c>
      <c r="F868" s="1" t="s">
        <v>39</v>
      </c>
      <c r="G868" s="1" t="str">
        <f>"02642020156"</f>
        <v>02642020156</v>
      </c>
      <c r="I868" s="1" t="s">
        <v>253</v>
      </c>
      <c r="L868" s="1" t="s">
        <v>44</v>
      </c>
      <c r="M868" s="1" t="s">
        <v>255</v>
      </c>
      <c r="AG868" s="1" t="s">
        <v>1904</v>
      </c>
      <c r="AH868" s="2">
        <v>44953</v>
      </c>
      <c r="AI868" s="2">
        <v>45107</v>
      </c>
      <c r="AJ868" s="2">
        <v>44953</v>
      </c>
    </row>
    <row r="869" spans="1:36">
      <c r="A869" s="1" t="str">
        <f>"ZC839B9514"</f>
        <v>ZC839B9514</v>
      </c>
      <c r="B869" s="1" t="str">
        <f t="shared" si="23"/>
        <v>02406911202</v>
      </c>
      <c r="C869" s="1" t="s">
        <v>13</v>
      </c>
      <c r="D869" s="1" t="s">
        <v>205</v>
      </c>
      <c r="E869" s="1" t="s">
        <v>1753</v>
      </c>
      <c r="F869" s="1" t="s">
        <v>39</v>
      </c>
      <c r="G869" s="1" t="str">
        <f>"02208681201"</f>
        <v>02208681201</v>
      </c>
      <c r="I869" s="1" t="s">
        <v>1905</v>
      </c>
      <c r="L869" s="1" t="s">
        <v>44</v>
      </c>
      <c r="M869" s="1" t="s">
        <v>1906</v>
      </c>
      <c r="AG869" s="1" t="s">
        <v>1907</v>
      </c>
      <c r="AH869" s="2">
        <v>44927</v>
      </c>
      <c r="AI869" s="2">
        <v>45291</v>
      </c>
      <c r="AJ869" s="2">
        <v>44927</v>
      </c>
    </row>
    <row r="870" spans="1:36">
      <c r="A870" s="1" t="str">
        <f>"ZE939C310B"</f>
        <v>ZE939C310B</v>
      </c>
      <c r="B870" s="1" t="str">
        <f t="shared" si="23"/>
        <v>02406911202</v>
      </c>
      <c r="C870" s="1" t="s">
        <v>13</v>
      </c>
      <c r="D870" s="1" t="s">
        <v>37</v>
      </c>
      <c r="E870" s="1" t="s">
        <v>1908</v>
      </c>
      <c r="F870" s="1" t="s">
        <v>117</v>
      </c>
      <c r="G870" s="1" t="str">
        <f>"13445820155"</f>
        <v>13445820155</v>
      </c>
      <c r="I870" s="1" t="s">
        <v>1909</v>
      </c>
      <c r="L870" s="1" t="s">
        <v>44</v>
      </c>
      <c r="M870" s="1" t="s">
        <v>1910</v>
      </c>
      <c r="AG870" s="1" t="s">
        <v>1482</v>
      </c>
      <c r="AH870" s="2">
        <v>44943</v>
      </c>
      <c r="AI870" s="2">
        <v>46022</v>
      </c>
      <c r="AJ870" s="2">
        <v>44943</v>
      </c>
    </row>
    <row r="871" spans="1:36">
      <c r="A871" s="1" t="str">
        <f>"ZE139C31D4"</f>
        <v>ZE139C31D4</v>
      </c>
      <c r="B871" s="1" t="str">
        <f t="shared" si="23"/>
        <v>02406911202</v>
      </c>
      <c r="C871" s="1" t="s">
        <v>13</v>
      </c>
      <c r="D871" s="1" t="s">
        <v>37</v>
      </c>
      <c r="E871" s="1" t="s">
        <v>1911</v>
      </c>
      <c r="F871" s="1" t="s">
        <v>117</v>
      </c>
      <c r="G871" s="1" t="str">
        <f>"05941670969"</f>
        <v>05941670969</v>
      </c>
      <c r="I871" s="1" t="s">
        <v>1912</v>
      </c>
      <c r="L871" s="1" t="s">
        <v>44</v>
      </c>
      <c r="M871" s="1" t="s">
        <v>1913</v>
      </c>
      <c r="AG871" s="1" t="s">
        <v>124</v>
      </c>
      <c r="AH871" s="2">
        <v>44943</v>
      </c>
      <c r="AI871" s="2">
        <v>46022</v>
      </c>
      <c r="AJ871" s="2">
        <v>44943</v>
      </c>
    </row>
    <row r="872" spans="1:36">
      <c r="A872" s="1" t="str">
        <f>"Z9639D226B"</f>
        <v>Z9639D226B</v>
      </c>
      <c r="B872" s="1" t="str">
        <f t="shared" si="23"/>
        <v>02406911202</v>
      </c>
      <c r="C872" s="1" t="s">
        <v>13</v>
      </c>
      <c r="D872" s="1" t="s">
        <v>1312</v>
      </c>
      <c r="E872" s="1" t="s">
        <v>1914</v>
      </c>
      <c r="F872" s="1" t="s">
        <v>49</v>
      </c>
      <c r="G872" s="1" t="str">
        <f>"01847901202"</f>
        <v>01847901202</v>
      </c>
      <c r="I872" s="1" t="s">
        <v>1612</v>
      </c>
      <c r="L872" s="1" t="s">
        <v>44</v>
      </c>
      <c r="M872" s="1" t="s">
        <v>1314</v>
      </c>
      <c r="AG872" s="1" t="s">
        <v>1915</v>
      </c>
      <c r="AH872" s="2">
        <v>44963</v>
      </c>
      <c r="AI872" s="2">
        <v>45657</v>
      </c>
      <c r="AJ872" s="2">
        <v>44963</v>
      </c>
    </row>
    <row r="873" spans="1:36">
      <c r="A873" s="1" t="str">
        <f>"9480961087"</f>
        <v>9480961087</v>
      </c>
      <c r="B873" s="1" t="str">
        <f t="shared" si="23"/>
        <v>02406911202</v>
      </c>
      <c r="C873" s="1" t="s">
        <v>13</v>
      </c>
      <c r="D873" s="1" t="s">
        <v>37</v>
      </c>
      <c r="E873" s="1" t="s">
        <v>1916</v>
      </c>
      <c r="F873" s="1" t="s">
        <v>117</v>
      </c>
      <c r="G873" s="1" t="str">
        <f>"08252061000"</f>
        <v>08252061000</v>
      </c>
      <c r="I873" s="1" t="s">
        <v>1917</v>
      </c>
      <c r="L873" s="1" t="s">
        <v>44</v>
      </c>
      <c r="M873" s="1" t="s">
        <v>1918</v>
      </c>
      <c r="AG873" s="1" t="s">
        <v>1918</v>
      </c>
      <c r="AH873" s="2">
        <v>44927</v>
      </c>
      <c r="AI873" s="2">
        <v>45291</v>
      </c>
      <c r="AJ873" s="2">
        <v>44927</v>
      </c>
    </row>
    <row r="874" spans="1:36">
      <c r="A874" s="1" t="str">
        <f>"9614954F08"</f>
        <v>9614954F08</v>
      </c>
      <c r="B874" s="1" t="str">
        <f t="shared" si="23"/>
        <v>02406911202</v>
      </c>
      <c r="C874" s="1" t="s">
        <v>13</v>
      </c>
      <c r="D874" s="1" t="s">
        <v>205</v>
      </c>
      <c r="E874" s="1" t="s">
        <v>1919</v>
      </c>
      <c r="F874" s="1" t="s">
        <v>39</v>
      </c>
      <c r="G874" s="1" t="str">
        <f>"02410141200"</f>
        <v>02410141200</v>
      </c>
      <c r="I874" s="1" t="s">
        <v>1920</v>
      </c>
      <c r="L874" s="1" t="s">
        <v>44</v>
      </c>
      <c r="M874" s="1" t="s">
        <v>1921</v>
      </c>
      <c r="AG874" s="1" t="s">
        <v>1922</v>
      </c>
      <c r="AH874" s="2">
        <v>44927</v>
      </c>
      <c r="AI874" s="2">
        <v>45657</v>
      </c>
      <c r="AJ874" s="2">
        <v>44927</v>
      </c>
    </row>
    <row r="875" spans="1:36">
      <c r="A875" s="1" t="str">
        <f>"ZC739E346E"</f>
        <v>ZC739E346E</v>
      </c>
      <c r="B875" s="1" t="str">
        <f t="shared" si="23"/>
        <v>02406911202</v>
      </c>
      <c r="C875" s="1" t="s">
        <v>13</v>
      </c>
      <c r="D875" s="1" t="s">
        <v>205</v>
      </c>
      <c r="E875" s="1" t="s">
        <v>1677</v>
      </c>
      <c r="F875" s="1" t="s">
        <v>39</v>
      </c>
      <c r="G875" s="1" t="str">
        <f>"02671970396"</f>
        <v>02671970396</v>
      </c>
      <c r="I875" s="1" t="s">
        <v>1923</v>
      </c>
      <c r="L875" s="1" t="s">
        <v>44</v>
      </c>
      <c r="M875" s="1" t="s">
        <v>912</v>
      </c>
      <c r="AG875" s="1" t="s">
        <v>1924</v>
      </c>
      <c r="AH875" s="2">
        <v>44927</v>
      </c>
      <c r="AI875" s="2">
        <v>45291</v>
      </c>
      <c r="AJ875" s="2">
        <v>44927</v>
      </c>
    </row>
    <row r="876" spans="1:36">
      <c r="A876" s="1" t="str">
        <f>"96466760DF"</f>
        <v>96466760DF</v>
      </c>
      <c r="B876" s="1" t="str">
        <f t="shared" si="23"/>
        <v>02406911202</v>
      </c>
      <c r="C876" s="1" t="s">
        <v>13</v>
      </c>
      <c r="D876" s="1" t="s">
        <v>37</v>
      </c>
      <c r="E876" s="1" t="s">
        <v>1925</v>
      </c>
      <c r="F876" s="1" t="s">
        <v>117</v>
      </c>
      <c r="G876" s="1" t="str">
        <f>"07921350968"</f>
        <v>07921350968</v>
      </c>
      <c r="I876" s="1" t="s">
        <v>1926</v>
      </c>
      <c r="L876" s="1" t="s">
        <v>44</v>
      </c>
      <c r="M876" s="1" t="s">
        <v>1927</v>
      </c>
      <c r="AG876" s="1" t="s">
        <v>1928</v>
      </c>
      <c r="AH876" s="2">
        <v>44943</v>
      </c>
      <c r="AI876" s="2">
        <v>46022</v>
      </c>
      <c r="AJ876" s="2">
        <v>44943</v>
      </c>
    </row>
    <row r="877" spans="1:36">
      <c r="A877" s="1" t="str">
        <f>"96466760DF"</f>
        <v>96466760DF</v>
      </c>
      <c r="B877" s="1" t="str">
        <f t="shared" si="23"/>
        <v>02406911202</v>
      </c>
      <c r="C877" s="1" t="s">
        <v>13</v>
      </c>
      <c r="D877" s="1" t="s">
        <v>37</v>
      </c>
      <c r="E877" s="1" t="s">
        <v>1925</v>
      </c>
      <c r="F877" s="1" t="s">
        <v>117</v>
      </c>
      <c r="G877" s="1" t="str">
        <f>"02385200122"</f>
        <v>02385200122</v>
      </c>
      <c r="I877" s="1" t="s">
        <v>1929</v>
      </c>
      <c r="L877" s="1" t="s">
        <v>44</v>
      </c>
      <c r="M877" s="1" t="s">
        <v>1927</v>
      </c>
      <c r="AG877" s="1" t="s">
        <v>1928</v>
      </c>
      <c r="AH877" s="2">
        <v>44943</v>
      </c>
      <c r="AI877" s="2">
        <v>46022</v>
      </c>
      <c r="AJ877" s="2">
        <v>44943</v>
      </c>
    </row>
    <row r="878" spans="1:36">
      <c r="A878" s="1" t="str">
        <f>"Z3939FA317"</f>
        <v>Z3939FA317</v>
      </c>
      <c r="B878" s="1" t="str">
        <f t="shared" si="23"/>
        <v>02406911202</v>
      </c>
      <c r="C878" s="1" t="s">
        <v>13</v>
      </c>
      <c r="D878" s="1" t="s">
        <v>1253</v>
      </c>
      <c r="E878" s="1" t="s">
        <v>1260</v>
      </c>
      <c r="F878" s="1" t="s">
        <v>49</v>
      </c>
      <c r="G878" s="1" t="str">
        <f>"11408800966"</f>
        <v>11408800966</v>
      </c>
      <c r="I878" s="1" t="s">
        <v>1930</v>
      </c>
      <c r="L878" s="1" t="s">
        <v>44</v>
      </c>
      <c r="M878" s="1" t="s">
        <v>1255</v>
      </c>
      <c r="AG878" s="1" t="s">
        <v>1931</v>
      </c>
      <c r="AH878" s="2">
        <v>44972</v>
      </c>
      <c r="AI878" s="2">
        <v>45291</v>
      </c>
      <c r="AJ878" s="2">
        <v>44972</v>
      </c>
    </row>
    <row r="879" spans="1:36">
      <c r="A879" s="1" t="str">
        <f>"Z5539FFDFA"</f>
        <v>Z5539FFDFA</v>
      </c>
      <c r="B879" s="1" t="str">
        <f t="shared" si="23"/>
        <v>02406911202</v>
      </c>
      <c r="C879" s="1" t="s">
        <v>13</v>
      </c>
      <c r="D879" s="1" t="s">
        <v>1257</v>
      </c>
      <c r="E879" s="1" t="s">
        <v>1932</v>
      </c>
      <c r="F879" s="1" t="s">
        <v>49</v>
      </c>
      <c r="G879" s="1" t="str">
        <f>"00998560288"</f>
        <v>00998560288</v>
      </c>
      <c r="I879" s="1" t="s">
        <v>1933</v>
      </c>
      <c r="L879" s="1" t="s">
        <v>44</v>
      </c>
      <c r="M879" s="1" t="s">
        <v>1934</v>
      </c>
      <c r="AG879" s="1" t="s">
        <v>1934</v>
      </c>
      <c r="AH879" s="2">
        <v>44973</v>
      </c>
      <c r="AI879" s="2">
        <v>44985</v>
      </c>
      <c r="AJ879" s="2">
        <v>44973</v>
      </c>
    </row>
    <row r="880" spans="1:36">
      <c r="A880" s="1" t="str">
        <f>"Z5539FFDFA"</f>
        <v>Z5539FFDFA</v>
      </c>
      <c r="B880" s="1" t="str">
        <f t="shared" si="23"/>
        <v>02406911202</v>
      </c>
      <c r="C880" s="1" t="s">
        <v>13</v>
      </c>
      <c r="D880" s="1" t="s">
        <v>1257</v>
      </c>
      <c r="E880" s="1" t="s">
        <v>1932</v>
      </c>
      <c r="F880" s="1" t="s">
        <v>49</v>
      </c>
      <c r="G880" s="1" t="str">
        <f>"03789191008"</f>
        <v>03789191008</v>
      </c>
      <c r="I880" s="1" t="s">
        <v>1935</v>
      </c>
      <c r="L880" s="1" t="s">
        <v>41</v>
      </c>
      <c r="AJ880" s="2">
        <v>44973</v>
      </c>
    </row>
    <row r="881" spans="1:36">
      <c r="A881" s="1" t="str">
        <f>"Z2B3A03459"</f>
        <v>Z2B3A03459</v>
      </c>
      <c r="B881" s="1" t="str">
        <f t="shared" si="23"/>
        <v>02406911202</v>
      </c>
      <c r="C881" s="1" t="s">
        <v>13</v>
      </c>
      <c r="D881" s="1" t="s">
        <v>1312</v>
      </c>
      <c r="E881" s="1" t="s">
        <v>1936</v>
      </c>
      <c r="F881" s="1" t="s">
        <v>49</v>
      </c>
      <c r="G881" s="1" t="str">
        <f>"01847901202"</f>
        <v>01847901202</v>
      </c>
      <c r="I881" s="1" t="s">
        <v>1612</v>
      </c>
      <c r="L881" s="1" t="s">
        <v>44</v>
      </c>
      <c r="M881" s="1" t="s">
        <v>1314</v>
      </c>
      <c r="AG881" s="1" t="s">
        <v>1937</v>
      </c>
      <c r="AH881" s="2">
        <v>44974</v>
      </c>
      <c r="AI881" s="2">
        <v>45107</v>
      </c>
      <c r="AJ881" s="2">
        <v>44974</v>
      </c>
    </row>
    <row r="882" spans="1:36">
      <c r="A882" s="1" t="str">
        <f>"9580845B66"</f>
        <v>9580845B66</v>
      </c>
      <c r="B882" s="1" t="str">
        <f t="shared" si="23"/>
        <v>02406911202</v>
      </c>
      <c r="C882" s="1" t="s">
        <v>13</v>
      </c>
      <c r="D882" s="1" t="s">
        <v>37</v>
      </c>
      <c r="E882" s="1" t="s">
        <v>1938</v>
      </c>
      <c r="F882" s="1" t="s">
        <v>39</v>
      </c>
      <c r="G882" s="1" t="str">
        <f>"12796710155"</f>
        <v>12796710155</v>
      </c>
      <c r="I882" s="1" t="s">
        <v>1939</v>
      </c>
      <c r="L882" s="1" t="s">
        <v>44</v>
      </c>
      <c r="M882" s="1" t="s">
        <v>1940</v>
      </c>
      <c r="AG882" s="1" t="s">
        <v>1940</v>
      </c>
      <c r="AH882" s="2">
        <v>44927</v>
      </c>
      <c r="AI882" s="2">
        <v>45291</v>
      </c>
      <c r="AJ882" s="2">
        <v>44927</v>
      </c>
    </row>
    <row r="883" spans="1:36">
      <c r="A883" s="1" t="str">
        <f>"958078276A"</f>
        <v>958078276A</v>
      </c>
      <c r="B883" s="1" t="str">
        <f t="shared" si="23"/>
        <v>02406911202</v>
      </c>
      <c r="C883" s="1" t="s">
        <v>13</v>
      </c>
      <c r="D883" s="1" t="s">
        <v>37</v>
      </c>
      <c r="E883" s="1" t="s">
        <v>1941</v>
      </c>
      <c r="F883" s="1" t="s">
        <v>39</v>
      </c>
      <c r="H883" s="1" t="str">
        <f>"043310941"</f>
        <v>043310941</v>
      </c>
      <c r="I883" s="1" t="s">
        <v>1942</v>
      </c>
      <c r="L883" s="1" t="s">
        <v>44</v>
      </c>
      <c r="M883" s="1" t="s">
        <v>1943</v>
      </c>
      <c r="AG883" s="1" t="s">
        <v>124</v>
      </c>
      <c r="AH883" s="2">
        <v>44927</v>
      </c>
      <c r="AI883" s="2">
        <v>45291</v>
      </c>
      <c r="AJ883" s="2">
        <v>44927</v>
      </c>
    </row>
    <row r="884" spans="1:36">
      <c r="A884" s="1" t="str">
        <f>"9573501EEF"</f>
        <v>9573501EEF</v>
      </c>
      <c r="B884" s="1" t="str">
        <f t="shared" si="23"/>
        <v>02406911202</v>
      </c>
      <c r="C884" s="1" t="s">
        <v>13</v>
      </c>
      <c r="D884" s="1" t="s">
        <v>37</v>
      </c>
      <c r="E884" s="1" t="s">
        <v>1944</v>
      </c>
      <c r="F884" s="1" t="s">
        <v>39</v>
      </c>
      <c r="G884" s="1" t="str">
        <f>"00829840156"</f>
        <v>00829840156</v>
      </c>
      <c r="I884" s="1" t="s">
        <v>1945</v>
      </c>
      <c r="L884" s="1" t="s">
        <v>44</v>
      </c>
      <c r="M884" s="1" t="s">
        <v>1946</v>
      </c>
      <c r="AG884" s="1" t="s">
        <v>124</v>
      </c>
      <c r="AH884" s="2">
        <v>44927</v>
      </c>
      <c r="AI884" s="2">
        <v>45291</v>
      </c>
      <c r="AJ884" s="2">
        <v>44927</v>
      </c>
    </row>
    <row r="885" spans="1:36">
      <c r="A885" s="1" t="str">
        <f>"95737940BE"</f>
        <v>95737940BE</v>
      </c>
      <c r="B885" s="1" t="str">
        <f t="shared" si="23"/>
        <v>02406911202</v>
      </c>
      <c r="C885" s="1" t="s">
        <v>13</v>
      </c>
      <c r="D885" s="1" t="s">
        <v>37</v>
      </c>
      <c r="E885" s="1" t="s">
        <v>1947</v>
      </c>
      <c r="F885" s="1" t="s">
        <v>39</v>
      </c>
      <c r="H885" s="1" t="str">
        <f>"043310941"</f>
        <v>043310941</v>
      </c>
      <c r="I885" s="1" t="s">
        <v>1942</v>
      </c>
      <c r="L885" s="1" t="s">
        <v>44</v>
      </c>
      <c r="M885" s="1" t="s">
        <v>1948</v>
      </c>
      <c r="AG885" s="1" t="s">
        <v>124</v>
      </c>
      <c r="AH885" s="2">
        <v>44927</v>
      </c>
      <c r="AI885" s="2">
        <v>45291</v>
      </c>
      <c r="AJ885" s="2">
        <v>44927</v>
      </c>
    </row>
    <row r="886" spans="1:36">
      <c r="A886" s="1" t="str">
        <f>"95669007A0"</f>
        <v>95669007A0</v>
      </c>
      <c r="B886" s="1" t="str">
        <f t="shared" si="23"/>
        <v>02406911202</v>
      </c>
      <c r="C886" s="1" t="s">
        <v>13</v>
      </c>
      <c r="D886" s="1" t="s">
        <v>37</v>
      </c>
      <c r="E886" s="1" t="s">
        <v>1949</v>
      </c>
      <c r="F886" s="1" t="s">
        <v>39</v>
      </c>
      <c r="G886" s="1" t="str">
        <f>"00777910159"</f>
        <v>00777910159</v>
      </c>
      <c r="I886" s="1" t="s">
        <v>1950</v>
      </c>
      <c r="L886" s="1" t="s">
        <v>44</v>
      </c>
      <c r="M886" s="1" t="s">
        <v>917</v>
      </c>
      <c r="AG886" s="1" t="s">
        <v>917</v>
      </c>
      <c r="AH886" s="2">
        <v>44927</v>
      </c>
      <c r="AI886" s="2">
        <v>45291</v>
      </c>
      <c r="AJ886" s="2">
        <v>44927</v>
      </c>
    </row>
    <row r="887" spans="1:36">
      <c r="A887" s="1" t="str">
        <f>"9573722552"</f>
        <v>9573722552</v>
      </c>
      <c r="B887" s="1" t="str">
        <f t="shared" si="23"/>
        <v>02406911202</v>
      </c>
      <c r="C887" s="1" t="s">
        <v>13</v>
      </c>
      <c r="D887" s="1" t="s">
        <v>37</v>
      </c>
      <c r="E887" s="1" t="s">
        <v>1947</v>
      </c>
      <c r="F887" s="1" t="s">
        <v>39</v>
      </c>
      <c r="G887" s="1" t="str">
        <f>"06786300159"</f>
        <v>06786300159</v>
      </c>
      <c r="I887" s="1" t="s">
        <v>1951</v>
      </c>
      <c r="L887" s="1" t="s">
        <v>44</v>
      </c>
      <c r="M887" s="1" t="s">
        <v>1952</v>
      </c>
      <c r="AG887" s="1" t="s">
        <v>124</v>
      </c>
      <c r="AH887" s="2">
        <v>44927</v>
      </c>
      <c r="AI887" s="2">
        <v>45291</v>
      </c>
      <c r="AJ887" s="2">
        <v>44927</v>
      </c>
    </row>
    <row r="888" spans="1:36">
      <c r="A888" s="1" t="str">
        <f>"96340269C0"</f>
        <v>96340269C0</v>
      </c>
      <c r="B888" s="1" t="str">
        <f t="shared" si="23"/>
        <v>02406911202</v>
      </c>
      <c r="C888" s="1" t="s">
        <v>13</v>
      </c>
      <c r="D888" s="1" t="s">
        <v>37</v>
      </c>
      <c r="E888" s="1" t="s">
        <v>1953</v>
      </c>
      <c r="F888" s="1" t="s">
        <v>39</v>
      </c>
      <c r="G888" s="1" t="str">
        <f>"09238800156"</f>
        <v>09238800156</v>
      </c>
      <c r="I888" s="1" t="s">
        <v>88</v>
      </c>
      <c r="L888" s="1" t="s">
        <v>44</v>
      </c>
      <c r="M888" s="1" t="s">
        <v>820</v>
      </c>
      <c r="AG888" s="1" t="s">
        <v>1954</v>
      </c>
      <c r="AH888" s="2">
        <v>44950</v>
      </c>
      <c r="AI888" s="2">
        <v>45314</v>
      </c>
      <c r="AJ888" s="2">
        <v>44950</v>
      </c>
    </row>
    <row r="889" spans="1:36">
      <c r="A889" s="1" t="str">
        <f>"9641302E 1"</f>
        <v>9641302E 1</v>
      </c>
      <c r="B889" s="1" t="str">
        <f t="shared" si="23"/>
        <v>02406911202</v>
      </c>
      <c r="C889" s="1" t="s">
        <v>13</v>
      </c>
      <c r="D889" s="1" t="s">
        <v>37</v>
      </c>
      <c r="E889" s="1" t="s">
        <v>1955</v>
      </c>
      <c r="F889" s="1" t="s">
        <v>117</v>
      </c>
      <c r="G889" s="1" t="str">
        <f>"10616310156"</f>
        <v>10616310156</v>
      </c>
      <c r="I889" s="1" t="s">
        <v>1956</v>
      </c>
      <c r="L889" s="1" t="s">
        <v>44</v>
      </c>
      <c r="M889" s="1" t="s">
        <v>1957</v>
      </c>
      <c r="AG889" s="1" t="s">
        <v>124</v>
      </c>
      <c r="AH889" s="2">
        <v>44943</v>
      </c>
      <c r="AI889" s="2">
        <v>46022</v>
      </c>
      <c r="AJ889" s="2">
        <v>44943</v>
      </c>
    </row>
    <row r="890" spans="1:36">
      <c r="A890" s="1" t="str">
        <f>"964132838F"</f>
        <v>964132838F</v>
      </c>
      <c r="B890" s="1" t="str">
        <f t="shared" si="23"/>
        <v>02406911202</v>
      </c>
      <c r="C890" s="1" t="s">
        <v>13</v>
      </c>
      <c r="D890" s="1" t="s">
        <v>37</v>
      </c>
      <c r="E890" s="1" t="s">
        <v>1958</v>
      </c>
      <c r="F890" s="1" t="s">
        <v>117</v>
      </c>
      <c r="G890" s="1" t="str">
        <f>"11691250960"</f>
        <v>11691250960</v>
      </c>
      <c r="I890" s="1" t="s">
        <v>1959</v>
      </c>
      <c r="L890" s="1" t="s">
        <v>44</v>
      </c>
      <c r="M890" s="1" t="s">
        <v>1960</v>
      </c>
      <c r="AG890" s="1" t="s">
        <v>1961</v>
      </c>
      <c r="AH890" s="2">
        <v>44943</v>
      </c>
      <c r="AI890" s="2">
        <v>46022</v>
      </c>
      <c r="AJ890" s="2">
        <v>44943</v>
      </c>
    </row>
    <row r="891" spans="1:36">
      <c r="A891" s="1" t="str">
        <f>"ZCB39D7556"</f>
        <v>ZCB39D7556</v>
      </c>
      <c r="B891" s="1" t="str">
        <f t="shared" si="23"/>
        <v>02406911202</v>
      </c>
      <c r="C891" s="1" t="s">
        <v>13</v>
      </c>
      <c r="D891" s="1" t="s">
        <v>1312</v>
      </c>
      <c r="E891" s="1" t="s">
        <v>1962</v>
      </c>
      <c r="F891" s="1" t="s">
        <v>49</v>
      </c>
      <c r="G891" s="1" t="str">
        <f>"06111530637"</f>
        <v>06111530637</v>
      </c>
      <c r="I891" s="1" t="s">
        <v>1963</v>
      </c>
      <c r="L891" s="1" t="s">
        <v>44</v>
      </c>
      <c r="M891" s="1" t="s">
        <v>1314</v>
      </c>
      <c r="AG891" s="1" t="s">
        <v>1964</v>
      </c>
      <c r="AH891" s="2">
        <v>44964</v>
      </c>
      <c r="AI891" s="2">
        <v>45747</v>
      </c>
      <c r="AJ891" s="2">
        <v>44964</v>
      </c>
    </row>
    <row r="892" spans="1:36">
      <c r="A892" s="1" t="str">
        <f>"Z2B39DB9FC"</f>
        <v>Z2B39DB9FC</v>
      </c>
      <c r="B892" s="1" t="str">
        <f t="shared" si="23"/>
        <v>02406911202</v>
      </c>
      <c r="C892" s="1" t="s">
        <v>13</v>
      </c>
      <c r="D892" s="1" t="s">
        <v>1741</v>
      </c>
      <c r="E892" s="1" t="s">
        <v>1965</v>
      </c>
      <c r="F892" s="1" t="s">
        <v>49</v>
      </c>
      <c r="H892" s="1" t="str">
        <f>"6417689V"</f>
        <v>6417689V</v>
      </c>
      <c r="I892" s="1" t="s">
        <v>1966</v>
      </c>
      <c r="L892" s="1" t="s">
        <v>44</v>
      </c>
      <c r="M892" s="1" t="s">
        <v>1967</v>
      </c>
      <c r="AG892" s="1" t="s">
        <v>1967</v>
      </c>
      <c r="AH892" s="2">
        <v>44964</v>
      </c>
      <c r="AI892" s="2">
        <v>45291</v>
      </c>
      <c r="AJ892" s="2">
        <v>44964</v>
      </c>
    </row>
    <row r="893" spans="1:36">
      <c r="A893" s="1" t="str">
        <f>"ZF33A148D2"</f>
        <v>ZF33A148D2</v>
      </c>
      <c r="B893" s="1" t="str">
        <f t="shared" si="23"/>
        <v>02406911202</v>
      </c>
      <c r="C893" s="1" t="s">
        <v>13</v>
      </c>
      <c r="D893" s="1" t="s">
        <v>1253</v>
      </c>
      <c r="E893" s="1" t="s">
        <v>1387</v>
      </c>
      <c r="F893" s="1" t="s">
        <v>49</v>
      </c>
      <c r="G893" s="1" t="str">
        <f>"00265870105"</f>
        <v>00265870105</v>
      </c>
      <c r="I893" s="1" t="s">
        <v>1968</v>
      </c>
      <c r="L893" s="1" t="s">
        <v>44</v>
      </c>
      <c r="M893" s="1" t="s">
        <v>153</v>
      </c>
      <c r="AG893" s="1" t="s">
        <v>1969</v>
      </c>
      <c r="AH893" s="2">
        <v>44980</v>
      </c>
      <c r="AI893" s="2">
        <v>45291</v>
      </c>
      <c r="AJ893" s="2">
        <v>44980</v>
      </c>
    </row>
    <row r="894" spans="1:36">
      <c r="A894" s="1" t="str">
        <f>"9479170A89"</f>
        <v>9479170A89</v>
      </c>
      <c r="B894" s="1" t="str">
        <f t="shared" si="23"/>
        <v>02406911202</v>
      </c>
      <c r="C894" s="1" t="s">
        <v>13</v>
      </c>
      <c r="D894" s="1" t="s">
        <v>37</v>
      </c>
      <c r="E894" s="1" t="s">
        <v>1970</v>
      </c>
      <c r="F894" s="1" t="s">
        <v>39</v>
      </c>
      <c r="G894" s="1" t="str">
        <f>"13284060152"</f>
        <v>13284060152</v>
      </c>
      <c r="I894" s="1" t="s">
        <v>1971</v>
      </c>
      <c r="L894" s="1" t="s">
        <v>44</v>
      </c>
      <c r="M894" s="1" t="s">
        <v>1972</v>
      </c>
      <c r="AG894" s="1" t="s">
        <v>1973</v>
      </c>
      <c r="AH894" s="2">
        <v>44927</v>
      </c>
      <c r="AI894" s="2">
        <v>45077</v>
      </c>
      <c r="AJ894" s="2">
        <v>44927</v>
      </c>
    </row>
    <row r="895" spans="1:36">
      <c r="A895" s="1" t="str">
        <f>"ZD23A12188"</f>
        <v>ZD23A12188</v>
      </c>
      <c r="B895" s="1" t="str">
        <f t="shared" si="23"/>
        <v>02406911202</v>
      </c>
      <c r="C895" s="1" t="s">
        <v>13</v>
      </c>
      <c r="D895" s="1" t="s">
        <v>1312</v>
      </c>
      <c r="E895" s="1" t="s">
        <v>1974</v>
      </c>
      <c r="F895" s="1" t="s">
        <v>49</v>
      </c>
      <c r="G895" s="1" t="str">
        <f>"01262840398"</f>
        <v>01262840398</v>
      </c>
      <c r="I895" s="1" t="s">
        <v>1975</v>
      </c>
      <c r="L895" s="1" t="s">
        <v>44</v>
      </c>
      <c r="M895" s="1" t="s">
        <v>1976</v>
      </c>
      <c r="AG895" s="1" t="s">
        <v>1976</v>
      </c>
      <c r="AH895" s="2">
        <v>44979</v>
      </c>
      <c r="AI895" s="2">
        <v>45016</v>
      </c>
      <c r="AJ895" s="2">
        <v>44979</v>
      </c>
    </row>
    <row r="896" spans="1:36">
      <c r="A896" s="1" t="str">
        <f>"Z723A0D898"</f>
        <v>Z723A0D898</v>
      </c>
      <c r="B896" s="1" t="str">
        <f t="shared" si="23"/>
        <v>02406911202</v>
      </c>
      <c r="C896" s="1" t="s">
        <v>13</v>
      </c>
      <c r="D896" s="1" t="s">
        <v>205</v>
      </c>
      <c r="E896" s="1" t="s">
        <v>1686</v>
      </c>
      <c r="F896" s="1" t="s">
        <v>39</v>
      </c>
      <c r="G896" s="1" t="str">
        <f>"91030420409"</f>
        <v>91030420409</v>
      </c>
      <c r="I896" s="1" t="s">
        <v>1977</v>
      </c>
      <c r="L896" s="1" t="s">
        <v>44</v>
      </c>
      <c r="M896" s="1" t="s">
        <v>917</v>
      </c>
      <c r="AG896" s="1" t="s">
        <v>1978</v>
      </c>
      <c r="AH896" s="2">
        <v>44927</v>
      </c>
      <c r="AI896" s="2">
        <v>45291</v>
      </c>
      <c r="AJ896" s="2">
        <v>44927</v>
      </c>
    </row>
    <row r="897" spans="1:36">
      <c r="A897" s="1" t="str">
        <f>"Z373A04A36"</f>
        <v>Z373A04A36</v>
      </c>
      <c r="B897" s="1" t="str">
        <f t="shared" si="23"/>
        <v>02406911202</v>
      </c>
      <c r="C897" s="1" t="s">
        <v>13</v>
      </c>
      <c r="D897" s="1" t="s">
        <v>1312</v>
      </c>
      <c r="E897" s="1" t="s">
        <v>1979</v>
      </c>
      <c r="F897" s="1" t="s">
        <v>49</v>
      </c>
      <c r="G897" s="1" t="str">
        <f>"02591991209"</f>
        <v>02591991209</v>
      </c>
      <c r="I897" s="1" t="s">
        <v>1980</v>
      </c>
      <c r="L897" s="1" t="s">
        <v>44</v>
      </c>
      <c r="M897" s="1" t="s">
        <v>1314</v>
      </c>
      <c r="AG897" s="1" t="s">
        <v>1981</v>
      </c>
      <c r="AH897" s="2">
        <v>44980</v>
      </c>
      <c r="AI897" s="2">
        <v>45351</v>
      </c>
      <c r="AJ897" s="2">
        <v>44980</v>
      </c>
    </row>
    <row r="898" spans="1:36">
      <c r="A898" s="1" t="str">
        <f>"Z7D3A11568"</f>
        <v>Z7D3A11568</v>
      </c>
      <c r="B898" s="1" t="str">
        <f t="shared" si="23"/>
        <v>02406911202</v>
      </c>
      <c r="C898" s="1" t="s">
        <v>13</v>
      </c>
      <c r="D898" s="1" t="s">
        <v>37</v>
      </c>
      <c r="E898" s="1" t="s">
        <v>1982</v>
      </c>
      <c r="F898" s="1" t="s">
        <v>39</v>
      </c>
      <c r="G898" s="1" t="str">
        <f>"00462450370"</f>
        <v>00462450370</v>
      </c>
      <c r="I898" s="1" t="s">
        <v>1983</v>
      </c>
      <c r="L898" s="1" t="s">
        <v>44</v>
      </c>
      <c r="M898" s="1" t="s">
        <v>108</v>
      </c>
      <c r="AG898" s="1" t="s">
        <v>1984</v>
      </c>
      <c r="AH898" s="2">
        <v>44981</v>
      </c>
      <c r="AI898" s="2">
        <v>45138</v>
      </c>
      <c r="AJ898" s="2">
        <v>44981</v>
      </c>
    </row>
    <row r="899" spans="1:36">
      <c r="A899" s="1" t="str">
        <f>"Z283A1CB6A"</f>
        <v>Z283A1CB6A</v>
      </c>
      <c r="B899" s="1" t="str">
        <f t="shared" si="23"/>
        <v>02406911202</v>
      </c>
      <c r="C899" s="1" t="s">
        <v>13</v>
      </c>
      <c r="D899" s="1" t="s">
        <v>1257</v>
      </c>
      <c r="E899" s="1" t="s">
        <v>1985</v>
      </c>
      <c r="F899" s="1" t="s">
        <v>49</v>
      </c>
      <c r="G899" s="1" t="str">
        <f>"02704520341"</f>
        <v>02704520341</v>
      </c>
      <c r="I899" s="1" t="s">
        <v>1429</v>
      </c>
      <c r="L899" s="1" t="s">
        <v>44</v>
      </c>
      <c r="M899" s="1" t="s">
        <v>1986</v>
      </c>
      <c r="AG899" s="1" t="s">
        <v>124</v>
      </c>
      <c r="AH899" s="2">
        <v>44981</v>
      </c>
      <c r="AI899" s="2">
        <v>45001</v>
      </c>
      <c r="AJ899" s="2">
        <v>44981</v>
      </c>
    </row>
    <row r="900" spans="1:36">
      <c r="A900" s="1" t="str">
        <f>"Z283A1CB6A"</f>
        <v>Z283A1CB6A</v>
      </c>
      <c r="B900" s="1" t="str">
        <f t="shared" si="23"/>
        <v>02406911202</v>
      </c>
      <c r="C900" s="1" t="s">
        <v>13</v>
      </c>
      <c r="D900" s="1" t="s">
        <v>1257</v>
      </c>
      <c r="E900" s="1" t="s">
        <v>1985</v>
      </c>
      <c r="F900" s="1" t="s">
        <v>49</v>
      </c>
      <c r="G900" s="1" t="str">
        <f>"01847901202"</f>
        <v>01847901202</v>
      </c>
      <c r="I900" s="1" t="s">
        <v>1612</v>
      </c>
      <c r="L900" s="1" t="s">
        <v>41</v>
      </c>
      <c r="AJ900" s="2">
        <v>44981</v>
      </c>
    </row>
    <row r="901" spans="1:36">
      <c r="A901" s="1" t="str">
        <f>"Z283A1CB6A"</f>
        <v>Z283A1CB6A</v>
      </c>
      <c r="B901" s="1" t="str">
        <f t="shared" si="23"/>
        <v>02406911202</v>
      </c>
      <c r="C901" s="1" t="s">
        <v>13</v>
      </c>
      <c r="D901" s="1" t="s">
        <v>1257</v>
      </c>
      <c r="E901" s="1" t="s">
        <v>1985</v>
      </c>
      <c r="F901" s="1" t="s">
        <v>49</v>
      </c>
      <c r="G901" s="1" t="str">
        <f>"02373581202"</f>
        <v>02373581202</v>
      </c>
      <c r="I901" s="1" t="s">
        <v>1405</v>
      </c>
      <c r="L901" s="1" t="s">
        <v>41</v>
      </c>
      <c r="AJ901" s="2">
        <v>44981</v>
      </c>
    </row>
    <row r="902" spans="1:36">
      <c r="A902" s="1" t="str">
        <f>"9616474563"</f>
        <v>9616474563</v>
      </c>
      <c r="B902" s="1" t="str">
        <f t="shared" ref="B902:B965" si="25">"02406911202"</f>
        <v>02406911202</v>
      </c>
      <c r="C902" s="1" t="s">
        <v>13</v>
      </c>
      <c r="D902" s="1" t="s">
        <v>37</v>
      </c>
      <c r="E902" s="1" t="s">
        <v>1987</v>
      </c>
      <c r="F902" s="1" t="s">
        <v>117</v>
      </c>
      <c r="G902" s="1" t="str">
        <f>"05665070966"</f>
        <v>05665070966</v>
      </c>
      <c r="I902" s="1" t="s">
        <v>1988</v>
      </c>
      <c r="L902" s="1" t="s">
        <v>44</v>
      </c>
      <c r="M902" s="1" t="s">
        <v>1989</v>
      </c>
      <c r="AG902" s="1" t="s">
        <v>124</v>
      </c>
      <c r="AH902" s="2">
        <v>44943</v>
      </c>
      <c r="AI902" s="2">
        <v>46022</v>
      </c>
      <c r="AJ902" s="2">
        <v>44943</v>
      </c>
    </row>
    <row r="903" spans="1:36">
      <c r="A903" s="1" t="str">
        <f>"9616284897"</f>
        <v>9616284897</v>
      </c>
      <c r="B903" s="1" t="str">
        <f t="shared" si="25"/>
        <v>02406911202</v>
      </c>
      <c r="C903" s="1" t="s">
        <v>13</v>
      </c>
      <c r="D903" s="1" t="s">
        <v>37</v>
      </c>
      <c r="E903" s="1" t="s">
        <v>1990</v>
      </c>
      <c r="F903" s="1" t="s">
        <v>117</v>
      </c>
      <c r="G903" s="1" t="str">
        <f>"01726510595"</f>
        <v>01726510595</v>
      </c>
      <c r="I903" s="1" t="s">
        <v>1991</v>
      </c>
      <c r="L903" s="1" t="s">
        <v>44</v>
      </c>
      <c r="M903" s="1" t="s">
        <v>1992</v>
      </c>
      <c r="AG903" s="1" t="s">
        <v>1993</v>
      </c>
      <c r="AH903" s="2">
        <v>44943</v>
      </c>
      <c r="AI903" s="2">
        <v>46022</v>
      </c>
      <c r="AJ903" s="2">
        <v>44943</v>
      </c>
    </row>
    <row r="904" spans="1:36">
      <c r="A904" s="1" t="str">
        <f>"9608728D2D"</f>
        <v>9608728D2D</v>
      </c>
      <c r="B904" s="1" t="str">
        <f t="shared" si="25"/>
        <v>02406911202</v>
      </c>
      <c r="C904" s="1" t="s">
        <v>13</v>
      </c>
      <c r="D904" s="1" t="s">
        <v>37</v>
      </c>
      <c r="E904" s="1" t="s">
        <v>1994</v>
      </c>
      <c r="F904" s="1" t="s">
        <v>431</v>
      </c>
      <c r="G904" s="1" t="str">
        <f>"05424020963"</f>
        <v>05424020963</v>
      </c>
      <c r="I904" s="1" t="s">
        <v>1995</v>
      </c>
      <c r="L904" s="1" t="s">
        <v>44</v>
      </c>
      <c r="M904" s="1" t="s">
        <v>1996</v>
      </c>
      <c r="AG904" s="1" t="s">
        <v>1997</v>
      </c>
      <c r="AH904" s="2">
        <v>44947</v>
      </c>
      <c r="AI904" s="2">
        <v>46407</v>
      </c>
      <c r="AJ904" s="2">
        <v>44947</v>
      </c>
    </row>
    <row r="905" spans="1:36">
      <c r="A905" s="1" t="str">
        <f>"9608613E46"</f>
        <v>9608613E46</v>
      </c>
      <c r="B905" s="1" t="str">
        <f t="shared" si="25"/>
        <v>02406911202</v>
      </c>
      <c r="C905" s="1" t="s">
        <v>13</v>
      </c>
      <c r="D905" s="1" t="s">
        <v>37</v>
      </c>
      <c r="E905" s="1" t="s">
        <v>1998</v>
      </c>
      <c r="F905" s="1" t="s">
        <v>431</v>
      </c>
      <c r="G905" s="1" t="str">
        <f>"09238800156"</f>
        <v>09238800156</v>
      </c>
      <c r="I905" s="1" t="s">
        <v>88</v>
      </c>
      <c r="L905" s="1" t="s">
        <v>44</v>
      </c>
      <c r="M905" s="1" t="s">
        <v>1999</v>
      </c>
      <c r="AG905" s="1" t="s">
        <v>2000</v>
      </c>
      <c r="AH905" s="2">
        <v>44947</v>
      </c>
      <c r="AI905" s="2">
        <v>46407</v>
      </c>
      <c r="AJ905" s="2">
        <v>44947</v>
      </c>
    </row>
    <row r="906" spans="1:36">
      <c r="A906" s="1" t="str">
        <f>"9608747CDB"</f>
        <v>9608747CDB</v>
      </c>
      <c r="B906" s="1" t="str">
        <f t="shared" si="25"/>
        <v>02406911202</v>
      </c>
      <c r="C906" s="1" t="s">
        <v>13</v>
      </c>
      <c r="D906" s="1" t="s">
        <v>37</v>
      </c>
      <c r="E906" s="1" t="s">
        <v>2001</v>
      </c>
      <c r="F906" s="1" t="s">
        <v>431</v>
      </c>
      <c r="G906" s="1" t="str">
        <f>"02704520341"</f>
        <v>02704520341</v>
      </c>
      <c r="I906" s="1" t="s">
        <v>1429</v>
      </c>
      <c r="L906" s="1" t="s">
        <v>44</v>
      </c>
      <c r="M906" s="1" t="s">
        <v>2002</v>
      </c>
      <c r="AG906" s="1" t="s">
        <v>2003</v>
      </c>
      <c r="AH906" s="2">
        <v>44947</v>
      </c>
      <c r="AI906" s="2">
        <v>46407</v>
      </c>
      <c r="AJ906" s="2">
        <v>44947</v>
      </c>
    </row>
    <row r="907" spans="1:36">
      <c r="A907" s="1" t="str">
        <f>"960879547A"</f>
        <v>960879547A</v>
      </c>
      <c r="B907" s="1" t="str">
        <f t="shared" si="25"/>
        <v>02406911202</v>
      </c>
      <c r="C907" s="1" t="s">
        <v>13</v>
      </c>
      <c r="D907" s="1" t="s">
        <v>37</v>
      </c>
      <c r="E907" s="1" t="s">
        <v>2004</v>
      </c>
      <c r="F907" s="1" t="s">
        <v>431</v>
      </c>
      <c r="G907" s="1" t="str">
        <f>"02848620163"</f>
        <v>02848620163</v>
      </c>
      <c r="I907" s="1" t="s">
        <v>833</v>
      </c>
      <c r="L907" s="1" t="s">
        <v>44</v>
      </c>
      <c r="M907" s="1" t="s">
        <v>2005</v>
      </c>
      <c r="AG907" s="1" t="s">
        <v>2006</v>
      </c>
      <c r="AH907" s="2">
        <v>44947</v>
      </c>
      <c r="AI907" s="2">
        <v>46407</v>
      </c>
      <c r="AJ907" s="2">
        <v>44947</v>
      </c>
    </row>
    <row r="908" spans="1:36">
      <c r="A908" s="1" t="str">
        <f>"960904746F"</f>
        <v>960904746F</v>
      </c>
      <c r="B908" s="1" t="str">
        <f t="shared" si="25"/>
        <v>02406911202</v>
      </c>
      <c r="C908" s="1" t="s">
        <v>13</v>
      </c>
      <c r="D908" s="1" t="s">
        <v>37</v>
      </c>
      <c r="E908" s="1" t="s">
        <v>2007</v>
      </c>
      <c r="F908" s="1" t="s">
        <v>431</v>
      </c>
      <c r="G908" s="1" t="str">
        <f>"09058160152"</f>
        <v>09058160152</v>
      </c>
      <c r="I908" s="1" t="s">
        <v>1357</v>
      </c>
      <c r="L908" s="1" t="s">
        <v>44</v>
      </c>
      <c r="M908" s="1" t="s">
        <v>2008</v>
      </c>
      <c r="AG908" s="1" t="s">
        <v>124</v>
      </c>
      <c r="AH908" s="2">
        <v>44947</v>
      </c>
      <c r="AI908" s="2">
        <v>46407</v>
      </c>
      <c r="AJ908" s="2">
        <v>44947</v>
      </c>
    </row>
    <row r="909" spans="1:36">
      <c r="A909" s="1" t="str">
        <f>"9609082152"</f>
        <v>9609082152</v>
      </c>
      <c r="B909" s="1" t="str">
        <f t="shared" si="25"/>
        <v>02406911202</v>
      </c>
      <c r="C909" s="1" t="s">
        <v>13</v>
      </c>
      <c r="D909" s="1" t="s">
        <v>37</v>
      </c>
      <c r="E909" s="1" t="s">
        <v>2009</v>
      </c>
      <c r="F909" s="1" t="s">
        <v>431</v>
      </c>
      <c r="G909" s="1" t="str">
        <f>"05424020963"</f>
        <v>05424020963</v>
      </c>
      <c r="I909" s="1" t="s">
        <v>1995</v>
      </c>
      <c r="L909" s="1" t="s">
        <v>44</v>
      </c>
      <c r="M909" s="1" t="s">
        <v>2010</v>
      </c>
      <c r="AG909" s="1" t="s">
        <v>2011</v>
      </c>
      <c r="AH909" s="2">
        <v>44947</v>
      </c>
      <c r="AI909" s="2">
        <v>46407</v>
      </c>
      <c r="AJ909" s="2">
        <v>44947</v>
      </c>
    </row>
    <row r="910" spans="1:36">
      <c r="A910" s="1" t="str">
        <f>"Z37399DB06"</f>
        <v>Z37399DB06</v>
      </c>
      <c r="B910" s="1" t="str">
        <f t="shared" si="25"/>
        <v>02406911202</v>
      </c>
      <c r="C910" s="1" t="s">
        <v>13</v>
      </c>
      <c r="D910" s="1" t="s">
        <v>1741</v>
      </c>
      <c r="E910" s="1" t="s">
        <v>2012</v>
      </c>
      <c r="F910" s="1" t="s">
        <v>49</v>
      </c>
      <c r="G910" s="1" t="str">
        <f>"02376321200"</f>
        <v>02376321200</v>
      </c>
      <c r="I910" s="1" t="s">
        <v>1884</v>
      </c>
      <c r="L910" s="1" t="s">
        <v>44</v>
      </c>
      <c r="M910" s="1" t="s">
        <v>2013</v>
      </c>
      <c r="AG910" s="1" t="s">
        <v>2014</v>
      </c>
      <c r="AH910" s="2">
        <v>44949</v>
      </c>
      <c r="AI910" s="2">
        <v>45291</v>
      </c>
      <c r="AJ910" s="2">
        <v>44949</v>
      </c>
    </row>
    <row r="911" spans="1:36">
      <c r="A911" s="1" t="str">
        <f>"962239076C"</f>
        <v>962239076C</v>
      </c>
      <c r="B911" s="1" t="str">
        <f t="shared" si="25"/>
        <v>02406911202</v>
      </c>
      <c r="C911" s="1" t="s">
        <v>13</v>
      </c>
      <c r="D911" s="1" t="s">
        <v>37</v>
      </c>
      <c r="E911" s="1" t="s">
        <v>2015</v>
      </c>
      <c r="F911" s="1" t="s">
        <v>117</v>
      </c>
      <c r="G911" s="1" t="str">
        <f>"00807290150"</f>
        <v>00807290150</v>
      </c>
      <c r="I911" s="1" t="s">
        <v>2016</v>
      </c>
      <c r="L911" s="1" t="s">
        <v>44</v>
      </c>
      <c r="M911" s="1" t="s">
        <v>2017</v>
      </c>
      <c r="AG911" s="1" t="s">
        <v>2018</v>
      </c>
      <c r="AH911" s="2">
        <v>44943</v>
      </c>
      <c r="AI911" s="2">
        <v>46022</v>
      </c>
      <c r="AJ911" s="2">
        <v>44943</v>
      </c>
    </row>
    <row r="912" spans="1:36">
      <c r="A912" s="1" t="str">
        <f>"9622415C0C"</f>
        <v>9622415C0C</v>
      </c>
      <c r="B912" s="1" t="str">
        <f t="shared" si="25"/>
        <v>02406911202</v>
      </c>
      <c r="C912" s="1" t="s">
        <v>13</v>
      </c>
      <c r="D912" s="1" t="s">
        <v>37</v>
      </c>
      <c r="E912" s="1" t="s">
        <v>2019</v>
      </c>
      <c r="F912" s="1" t="s">
        <v>117</v>
      </c>
      <c r="G912" s="1" t="str">
        <f>"07676940153"</f>
        <v>07676940153</v>
      </c>
      <c r="I912" s="1" t="s">
        <v>2020</v>
      </c>
      <c r="L912" s="1" t="s">
        <v>44</v>
      </c>
      <c r="M912" s="1" t="s">
        <v>2021</v>
      </c>
      <c r="AG912" s="1" t="s">
        <v>2022</v>
      </c>
      <c r="AH912" s="2">
        <v>44943</v>
      </c>
      <c r="AI912" s="2">
        <v>46022</v>
      </c>
      <c r="AJ912" s="2">
        <v>44943</v>
      </c>
    </row>
    <row r="913" spans="1:36">
      <c r="A913" s="1" t="str">
        <f>"Z6F39B3584"</f>
        <v>Z6F39B3584</v>
      </c>
      <c r="B913" s="1" t="str">
        <f t="shared" si="25"/>
        <v>02406911202</v>
      </c>
      <c r="C913" s="1" t="s">
        <v>13</v>
      </c>
      <c r="D913" s="1" t="s">
        <v>37</v>
      </c>
      <c r="E913" s="1" t="s">
        <v>2023</v>
      </c>
      <c r="F913" s="1" t="s">
        <v>117</v>
      </c>
      <c r="G913" s="1" t="str">
        <f>"10367041000"</f>
        <v>10367041000</v>
      </c>
      <c r="I913" s="1" t="s">
        <v>2024</v>
      </c>
      <c r="L913" s="1" t="s">
        <v>44</v>
      </c>
      <c r="M913" s="1" t="s">
        <v>2025</v>
      </c>
      <c r="AG913" s="1" t="s">
        <v>124</v>
      </c>
      <c r="AH913" s="2">
        <v>44958</v>
      </c>
      <c r="AI913" s="2">
        <v>45138</v>
      </c>
      <c r="AJ913" s="2">
        <v>44958</v>
      </c>
    </row>
    <row r="914" spans="1:36">
      <c r="A914" s="1" t="str">
        <f>"Z683A0FF14"</f>
        <v>Z683A0FF14</v>
      </c>
      <c r="B914" s="1" t="str">
        <f t="shared" si="25"/>
        <v>02406911202</v>
      </c>
      <c r="C914" s="1" t="s">
        <v>13</v>
      </c>
      <c r="D914" s="1" t="s">
        <v>1253</v>
      </c>
      <c r="E914" s="1" t="s">
        <v>1260</v>
      </c>
      <c r="F914" s="1" t="s">
        <v>49</v>
      </c>
      <c r="G914" s="1" t="str">
        <f>"09270550016"</f>
        <v>09270550016</v>
      </c>
      <c r="I914" s="1" t="s">
        <v>1328</v>
      </c>
      <c r="L914" s="1" t="s">
        <v>44</v>
      </c>
      <c r="M914" s="1" t="s">
        <v>1255</v>
      </c>
      <c r="AG914" s="1" t="s">
        <v>2026</v>
      </c>
      <c r="AH914" s="2">
        <v>44979</v>
      </c>
      <c r="AI914" s="2">
        <v>45291</v>
      </c>
      <c r="AJ914" s="2">
        <v>44979</v>
      </c>
    </row>
    <row r="915" spans="1:36">
      <c r="A915" s="1" t="str">
        <f>"ZD93A16326"</f>
        <v>ZD93A16326</v>
      </c>
      <c r="B915" s="1" t="str">
        <f t="shared" si="25"/>
        <v>02406911202</v>
      </c>
      <c r="C915" s="1" t="s">
        <v>13</v>
      </c>
      <c r="D915" s="1" t="s">
        <v>1253</v>
      </c>
      <c r="E915" s="1" t="s">
        <v>1262</v>
      </c>
      <c r="F915" s="1" t="s">
        <v>49</v>
      </c>
      <c r="G915" s="1" t="str">
        <f>"01258691003"</f>
        <v>01258691003</v>
      </c>
      <c r="I915" s="1" t="s">
        <v>2027</v>
      </c>
      <c r="L915" s="1" t="s">
        <v>44</v>
      </c>
      <c r="M915" s="1" t="s">
        <v>1255</v>
      </c>
      <c r="AG915" s="1" t="s">
        <v>2028</v>
      </c>
      <c r="AH915" s="2">
        <v>44980</v>
      </c>
      <c r="AI915" s="2">
        <v>45291</v>
      </c>
      <c r="AJ915" s="2">
        <v>44980</v>
      </c>
    </row>
    <row r="916" spans="1:36">
      <c r="A916" s="1" t="str">
        <f>"Z633A19D8C"</f>
        <v>Z633A19D8C</v>
      </c>
      <c r="B916" s="1" t="str">
        <f t="shared" si="25"/>
        <v>02406911202</v>
      </c>
      <c r="C916" s="1" t="s">
        <v>13</v>
      </c>
      <c r="D916" s="1" t="s">
        <v>1257</v>
      </c>
      <c r="E916" s="1" t="s">
        <v>2029</v>
      </c>
      <c r="F916" s="1" t="s">
        <v>49</v>
      </c>
      <c r="G916" s="1" t="str">
        <f>"10491291000"</f>
        <v>10491291000</v>
      </c>
      <c r="I916" s="1" t="s">
        <v>2030</v>
      </c>
      <c r="L916" s="1" t="s">
        <v>44</v>
      </c>
      <c r="M916" s="1" t="s">
        <v>2031</v>
      </c>
      <c r="AG916" s="1" t="s">
        <v>124</v>
      </c>
      <c r="AH916" s="2">
        <v>44981</v>
      </c>
      <c r="AI916" s="2">
        <v>45291</v>
      </c>
      <c r="AJ916" s="2">
        <v>44981</v>
      </c>
    </row>
    <row r="917" spans="1:36">
      <c r="A917" s="1" t="str">
        <f>"ZBE3A1A17C"</f>
        <v>ZBE3A1A17C</v>
      </c>
      <c r="B917" s="1" t="str">
        <f t="shared" si="25"/>
        <v>02406911202</v>
      </c>
      <c r="C917" s="1" t="s">
        <v>13</v>
      </c>
      <c r="D917" s="1" t="s">
        <v>1253</v>
      </c>
      <c r="E917" s="1" t="s">
        <v>1254</v>
      </c>
      <c r="F917" s="1" t="s">
        <v>49</v>
      </c>
      <c r="G917" s="1" t="str">
        <f>"02154270595"</f>
        <v>02154270595</v>
      </c>
      <c r="I917" s="1" t="s">
        <v>928</v>
      </c>
      <c r="L917" s="1" t="s">
        <v>44</v>
      </c>
      <c r="M917" s="1" t="s">
        <v>1255</v>
      </c>
      <c r="AG917" s="1" t="s">
        <v>2032</v>
      </c>
      <c r="AH917" s="2">
        <v>44981</v>
      </c>
      <c r="AI917" s="2">
        <v>45291</v>
      </c>
      <c r="AJ917" s="2">
        <v>44981</v>
      </c>
    </row>
    <row r="918" spans="1:36">
      <c r="A918" s="1" t="str">
        <f>"96119987AC"</f>
        <v>96119987AC</v>
      </c>
      <c r="B918" s="1" t="str">
        <f t="shared" si="25"/>
        <v>02406911202</v>
      </c>
      <c r="C918" s="1" t="s">
        <v>13</v>
      </c>
      <c r="D918" s="1" t="s">
        <v>37</v>
      </c>
      <c r="E918" s="1" t="s">
        <v>2033</v>
      </c>
      <c r="F918" s="1" t="s">
        <v>117</v>
      </c>
      <c r="G918" s="1" t="str">
        <f>"06184490966"</f>
        <v>06184490966</v>
      </c>
      <c r="I918" s="1" t="s">
        <v>2034</v>
      </c>
      <c r="L918" s="1" t="s">
        <v>44</v>
      </c>
      <c r="M918" s="1" t="s">
        <v>2035</v>
      </c>
      <c r="AG918" s="1" t="s">
        <v>124</v>
      </c>
      <c r="AH918" s="2">
        <v>44943</v>
      </c>
      <c r="AI918" s="2">
        <v>46022</v>
      </c>
      <c r="AJ918" s="2">
        <v>44943</v>
      </c>
    </row>
    <row r="919" spans="1:36">
      <c r="A919" s="1" t="str">
        <f>"9611968EE8"</f>
        <v>9611968EE8</v>
      </c>
      <c r="B919" s="1" t="str">
        <f t="shared" si="25"/>
        <v>02406911202</v>
      </c>
      <c r="C919" s="1" t="s">
        <v>13</v>
      </c>
      <c r="D919" s="1" t="s">
        <v>37</v>
      </c>
      <c r="E919" s="1" t="s">
        <v>2036</v>
      </c>
      <c r="F919" s="1" t="s">
        <v>117</v>
      </c>
      <c r="G919" s="1" t="str">
        <f>"01779530466"</f>
        <v>01779530466</v>
      </c>
      <c r="I919" s="1" t="s">
        <v>2037</v>
      </c>
      <c r="L919" s="1" t="s">
        <v>44</v>
      </c>
      <c r="M919" s="1" t="s">
        <v>2038</v>
      </c>
      <c r="AG919" s="1" t="s">
        <v>2039</v>
      </c>
      <c r="AH919" s="2">
        <v>44943</v>
      </c>
      <c r="AI919" s="2">
        <v>46022</v>
      </c>
      <c r="AJ919" s="2">
        <v>44943</v>
      </c>
    </row>
    <row r="920" spans="1:36">
      <c r="A920" s="1" t="str">
        <f>"961212507C"</f>
        <v>961212507C</v>
      </c>
      <c r="B920" s="1" t="str">
        <f t="shared" si="25"/>
        <v>02406911202</v>
      </c>
      <c r="C920" s="1" t="s">
        <v>13</v>
      </c>
      <c r="D920" s="1" t="s">
        <v>37</v>
      </c>
      <c r="E920" s="1" t="s">
        <v>2040</v>
      </c>
      <c r="F920" s="1" t="s">
        <v>117</v>
      </c>
      <c r="G920" s="1" t="str">
        <f>"00887261006"</f>
        <v>00887261006</v>
      </c>
      <c r="I920" s="1" t="s">
        <v>2041</v>
      </c>
      <c r="L920" s="1" t="s">
        <v>44</v>
      </c>
      <c r="M920" s="1" t="s">
        <v>2042</v>
      </c>
      <c r="AG920" s="1" t="s">
        <v>124</v>
      </c>
      <c r="AH920" s="2">
        <v>44943</v>
      </c>
      <c r="AI920" s="2">
        <v>46022</v>
      </c>
      <c r="AJ920" s="2">
        <v>44943</v>
      </c>
    </row>
    <row r="921" spans="1:36">
      <c r="A921" s="1" t="str">
        <f>"9611876300"</f>
        <v>9611876300</v>
      </c>
      <c r="B921" s="1" t="str">
        <f t="shared" si="25"/>
        <v>02406911202</v>
      </c>
      <c r="C921" s="1" t="s">
        <v>13</v>
      </c>
      <c r="D921" s="1" t="s">
        <v>37</v>
      </c>
      <c r="E921" s="1" t="s">
        <v>2043</v>
      </c>
      <c r="F921" s="1" t="s">
        <v>117</v>
      </c>
      <c r="G921" s="1" t="str">
        <f>"01260981004"</f>
        <v>01260981004</v>
      </c>
      <c r="I921" s="1" t="s">
        <v>2044</v>
      </c>
      <c r="L921" s="1" t="s">
        <v>44</v>
      </c>
      <c r="M921" s="1" t="s">
        <v>2045</v>
      </c>
      <c r="AG921" s="1" t="s">
        <v>124</v>
      </c>
      <c r="AH921" s="2">
        <v>44943</v>
      </c>
      <c r="AI921" s="2">
        <v>46022</v>
      </c>
      <c r="AJ921" s="2">
        <v>44943</v>
      </c>
    </row>
    <row r="922" spans="1:36">
      <c r="A922" s="1" t="str">
        <f>"Z033994E87"</f>
        <v>Z033994E87</v>
      </c>
      <c r="B922" s="1" t="str">
        <f t="shared" si="25"/>
        <v>02406911202</v>
      </c>
      <c r="C922" s="1" t="s">
        <v>13</v>
      </c>
      <c r="D922" s="1" t="s">
        <v>37</v>
      </c>
      <c r="E922" s="1" t="s">
        <v>2046</v>
      </c>
      <c r="F922" s="1" t="s">
        <v>117</v>
      </c>
      <c r="G922" s="1" t="str">
        <f>"01260981004"</f>
        <v>01260981004</v>
      </c>
      <c r="I922" s="1" t="s">
        <v>2044</v>
      </c>
      <c r="L922" s="1" t="s">
        <v>44</v>
      </c>
      <c r="M922" s="1" t="s">
        <v>2047</v>
      </c>
      <c r="AG922" s="1" t="s">
        <v>124</v>
      </c>
      <c r="AH922" s="2">
        <v>44943</v>
      </c>
      <c r="AI922" s="2">
        <v>46022</v>
      </c>
      <c r="AJ922" s="2">
        <v>44943</v>
      </c>
    </row>
    <row r="923" spans="1:36">
      <c r="A923" s="1" t="str">
        <f>"Z9939980C3"</f>
        <v>Z9939980C3</v>
      </c>
      <c r="B923" s="1" t="str">
        <f t="shared" si="25"/>
        <v>02406911202</v>
      </c>
      <c r="C923" s="1" t="s">
        <v>13</v>
      </c>
      <c r="D923" s="1" t="s">
        <v>1253</v>
      </c>
      <c r="E923" s="1" t="s">
        <v>2048</v>
      </c>
      <c r="F923" s="1" t="s">
        <v>49</v>
      </c>
      <c r="G923" s="1" t="str">
        <f>"01737830230"</f>
        <v>01737830230</v>
      </c>
      <c r="I923" s="1" t="s">
        <v>1696</v>
      </c>
      <c r="L923" s="1" t="s">
        <v>44</v>
      </c>
      <c r="M923" s="1" t="s">
        <v>1255</v>
      </c>
      <c r="AG923" s="1" t="s">
        <v>2049</v>
      </c>
      <c r="AH923" s="2">
        <v>44946</v>
      </c>
      <c r="AI923" s="2">
        <v>45291</v>
      </c>
      <c r="AJ923" s="2">
        <v>44946</v>
      </c>
    </row>
    <row r="924" spans="1:36">
      <c r="A924" s="1" t="str">
        <f>"9611943A48"</f>
        <v>9611943A48</v>
      </c>
      <c r="B924" s="1" t="str">
        <f t="shared" si="25"/>
        <v>02406911202</v>
      </c>
      <c r="C924" s="1" t="s">
        <v>13</v>
      </c>
      <c r="D924" s="1" t="s">
        <v>37</v>
      </c>
      <c r="E924" s="1" t="s">
        <v>2050</v>
      </c>
      <c r="F924" s="1" t="s">
        <v>117</v>
      </c>
      <c r="G924" s="1" t="str">
        <f>"00747170157"</f>
        <v>00747170157</v>
      </c>
      <c r="I924" s="1" t="s">
        <v>2051</v>
      </c>
      <c r="L924" s="1" t="s">
        <v>44</v>
      </c>
      <c r="M924" s="1" t="s">
        <v>2052</v>
      </c>
      <c r="AG924" s="1" t="s">
        <v>2053</v>
      </c>
      <c r="AH924" s="2">
        <v>44943</v>
      </c>
      <c r="AI924" s="2">
        <v>46022</v>
      </c>
      <c r="AJ924" s="2">
        <v>44943</v>
      </c>
    </row>
    <row r="925" spans="1:36">
      <c r="A925" s="1" t="str">
        <f>"Z513994DFB"</f>
        <v>Z513994DFB</v>
      </c>
      <c r="B925" s="1" t="str">
        <f t="shared" si="25"/>
        <v>02406911202</v>
      </c>
      <c r="C925" s="1" t="s">
        <v>13</v>
      </c>
      <c r="D925" s="1" t="s">
        <v>37</v>
      </c>
      <c r="E925" s="1" t="s">
        <v>2054</v>
      </c>
      <c r="F925" s="1" t="s">
        <v>117</v>
      </c>
      <c r="G925" s="1" t="str">
        <f>"02689300123"</f>
        <v>02689300123</v>
      </c>
      <c r="I925" s="1" t="s">
        <v>2055</v>
      </c>
      <c r="L925" s="1" t="s">
        <v>44</v>
      </c>
      <c r="M925" s="1" t="s">
        <v>2056</v>
      </c>
      <c r="AG925" s="1" t="s">
        <v>124</v>
      </c>
      <c r="AH925" s="2">
        <v>44943</v>
      </c>
      <c r="AI925" s="2">
        <v>46022</v>
      </c>
      <c r="AJ925" s="2">
        <v>44943</v>
      </c>
    </row>
    <row r="926" spans="1:36">
      <c r="A926" s="1" t="str">
        <f>"96115906FB"</f>
        <v>96115906FB</v>
      </c>
      <c r="B926" s="1" t="str">
        <f t="shared" si="25"/>
        <v>02406911202</v>
      </c>
      <c r="C926" s="1" t="s">
        <v>13</v>
      </c>
      <c r="D926" s="1" t="s">
        <v>37</v>
      </c>
      <c r="E926" s="1" t="s">
        <v>2057</v>
      </c>
      <c r="F926" s="1" t="s">
        <v>117</v>
      </c>
      <c r="G926" s="1" t="str">
        <f>"00696360155"</f>
        <v>00696360155</v>
      </c>
      <c r="I926" s="1" t="s">
        <v>1362</v>
      </c>
      <c r="L926" s="1" t="s">
        <v>44</v>
      </c>
      <c r="M926" s="1" t="s">
        <v>2058</v>
      </c>
      <c r="AG926" s="1" t="s">
        <v>2059</v>
      </c>
      <c r="AH926" s="2">
        <v>44943</v>
      </c>
      <c r="AI926" s="2">
        <v>46022</v>
      </c>
      <c r="AJ926" s="2">
        <v>44943</v>
      </c>
    </row>
    <row r="927" spans="1:36">
      <c r="A927" s="1" t="str">
        <f>"96118193F6"</f>
        <v>96118193F6</v>
      </c>
      <c r="B927" s="1" t="str">
        <f t="shared" si="25"/>
        <v>02406911202</v>
      </c>
      <c r="C927" s="1" t="s">
        <v>13</v>
      </c>
      <c r="D927" s="1" t="s">
        <v>37</v>
      </c>
      <c r="E927" s="1" t="s">
        <v>2060</v>
      </c>
      <c r="F927" s="1" t="s">
        <v>117</v>
      </c>
      <c r="G927" s="1" t="str">
        <f>"11008200153"</f>
        <v>11008200153</v>
      </c>
      <c r="I927" s="1" t="s">
        <v>2061</v>
      </c>
      <c r="L927" s="1" t="s">
        <v>44</v>
      </c>
      <c r="M927" s="1" t="s">
        <v>2062</v>
      </c>
      <c r="AG927" s="1" t="s">
        <v>2063</v>
      </c>
      <c r="AH927" s="2">
        <v>44943</v>
      </c>
      <c r="AI927" s="2">
        <v>46022</v>
      </c>
      <c r="AJ927" s="2">
        <v>44943</v>
      </c>
    </row>
    <row r="928" spans="1:36">
      <c r="A928" s="1" t="str">
        <f>"9612260FDF"</f>
        <v>9612260FDF</v>
      </c>
      <c r="B928" s="1" t="str">
        <f t="shared" si="25"/>
        <v>02406911202</v>
      </c>
      <c r="C928" s="1" t="s">
        <v>13</v>
      </c>
      <c r="D928" s="1" t="s">
        <v>37</v>
      </c>
      <c r="E928" s="1" t="s">
        <v>2064</v>
      </c>
      <c r="F928" s="1" t="s">
        <v>117</v>
      </c>
      <c r="G928" s="1" t="str">
        <f>"11654150157"</f>
        <v>11654150157</v>
      </c>
      <c r="I928" s="1" t="s">
        <v>1468</v>
      </c>
      <c r="L928" s="1" t="s">
        <v>44</v>
      </c>
      <c r="M928" s="1" t="s">
        <v>2065</v>
      </c>
      <c r="AG928" s="1" t="s">
        <v>2066</v>
      </c>
      <c r="AH928" s="2">
        <v>44943</v>
      </c>
      <c r="AI928" s="2">
        <v>46022</v>
      </c>
      <c r="AJ928" s="2">
        <v>44943</v>
      </c>
    </row>
    <row r="929" spans="1:36">
      <c r="A929" s="1" t="str">
        <f>"ZA239AAB4A"</f>
        <v>ZA239AAB4A</v>
      </c>
      <c r="B929" s="1" t="str">
        <f t="shared" si="25"/>
        <v>02406911202</v>
      </c>
      <c r="C929" s="1" t="s">
        <v>13</v>
      </c>
      <c r="D929" s="1" t="s">
        <v>1253</v>
      </c>
      <c r="E929" s="1" t="s">
        <v>1387</v>
      </c>
      <c r="F929" s="1" t="s">
        <v>49</v>
      </c>
      <c r="G929" s="1" t="str">
        <f>"02158490595"</f>
        <v>02158490595</v>
      </c>
      <c r="I929" s="1" t="s">
        <v>2067</v>
      </c>
      <c r="L929" s="1" t="s">
        <v>44</v>
      </c>
      <c r="M929" s="1" t="s">
        <v>1255</v>
      </c>
      <c r="AG929" s="1" t="s">
        <v>2068</v>
      </c>
      <c r="AH929" s="2">
        <v>44952</v>
      </c>
      <c r="AI929" s="2">
        <v>45291</v>
      </c>
      <c r="AJ929" s="2">
        <v>44952</v>
      </c>
    </row>
    <row r="930" spans="1:36">
      <c r="A930" s="1" t="str">
        <f>"ZDA39AACA8"</f>
        <v>ZDA39AACA8</v>
      </c>
      <c r="B930" s="1" t="str">
        <f t="shared" si="25"/>
        <v>02406911202</v>
      </c>
      <c r="C930" s="1" t="s">
        <v>13</v>
      </c>
      <c r="D930" s="1" t="s">
        <v>1253</v>
      </c>
      <c r="E930" s="1" t="s">
        <v>1254</v>
      </c>
      <c r="F930" s="1" t="s">
        <v>49</v>
      </c>
      <c r="G930" s="1" t="str">
        <f>"11206730159"</f>
        <v>11206730159</v>
      </c>
      <c r="I930" s="1" t="s">
        <v>192</v>
      </c>
      <c r="L930" s="1" t="s">
        <v>44</v>
      </c>
      <c r="M930" s="1" t="s">
        <v>1255</v>
      </c>
      <c r="AG930" s="1" t="s">
        <v>2069</v>
      </c>
      <c r="AH930" s="2">
        <v>44952</v>
      </c>
      <c r="AI930" s="2">
        <v>45291</v>
      </c>
      <c r="AJ930" s="2">
        <v>44952</v>
      </c>
    </row>
    <row r="931" spans="1:36">
      <c r="A931" s="1" t="str">
        <f>"Z9339AAB2B"</f>
        <v>Z9339AAB2B</v>
      </c>
      <c r="B931" s="1" t="str">
        <f t="shared" si="25"/>
        <v>02406911202</v>
      </c>
      <c r="C931" s="1" t="s">
        <v>13</v>
      </c>
      <c r="D931" s="1" t="s">
        <v>1253</v>
      </c>
      <c r="E931" s="1" t="s">
        <v>1262</v>
      </c>
      <c r="F931" s="1" t="s">
        <v>49</v>
      </c>
      <c r="G931" s="1" t="str">
        <f>"01423300183"</f>
        <v>01423300183</v>
      </c>
      <c r="I931" s="1" t="s">
        <v>1388</v>
      </c>
      <c r="L931" s="1" t="s">
        <v>44</v>
      </c>
      <c r="M931" s="1" t="s">
        <v>153</v>
      </c>
      <c r="AG931" s="1" t="s">
        <v>2070</v>
      </c>
      <c r="AH931" s="2">
        <v>44952</v>
      </c>
      <c r="AI931" s="2">
        <v>45291</v>
      </c>
      <c r="AJ931" s="2">
        <v>44952</v>
      </c>
    </row>
    <row r="932" spans="1:36">
      <c r="A932" s="1" t="str">
        <f>"Z4C39B9CD6"</f>
        <v>Z4C39B9CD6</v>
      </c>
      <c r="B932" s="1" t="str">
        <f t="shared" si="25"/>
        <v>02406911202</v>
      </c>
      <c r="C932" s="1" t="s">
        <v>13</v>
      </c>
      <c r="D932" s="1" t="s">
        <v>205</v>
      </c>
      <c r="E932" s="1" t="s">
        <v>2071</v>
      </c>
      <c r="F932" s="1" t="s">
        <v>49</v>
      </c>
      <c r="G932" s="1" t="str">
        <f>"09771701001"</f>
        <v>09771701001</v>
      </c>
      <c r="I932" s="1" t="s">
        <v>2072</v>
      </c>
      <c r="L932" s="1" t="s">
        <v>44</v>
      </c>
      <c r="M932" s="1" t="s">
        <v>2073</v>
      </c>
      <c r="AG932" s="1" t="s">
        <v>2074</v>
      </c>
      <c r="AH932" s="2">
        <v>44927</v>
      </c>
      <c r="AI932" s="2">
        <v>45291</v>
      </c>
      <c r="AJ932" s="2">
        <v>44927</v>
      </c>
    </row>
    <row r="933" spans="1:36">
      <c r="A933" s="1" t="str">
        <f>"Z4C39B9CD6"</f>
        <v>Z4C39B9CD6</v>
      </c>
      <c r="B933" s="1" t="str">
        <f t="shared" si="25"/>
        <v>02406911202</v>
      </c>
      <c r="C933" s="1" t="s">
        <v>13</v>
      </c>
      <c r="D933" s="1" t="s">
        <v>205</v>
      </c>
      <c r="E933" s="1" t="s">
        <v>2071</v>
      </c>
      <c r="F933" s="1" t="s">
        <v>49</v>
      </c>
      <c r="G933" s="1" t="str">
        <f>"07516911000"</f>
        <v>07516911000</v>
      </c>
      <c r="I933" s="1" t="s">
        <v>2075</v>
      </c>
      <c r="L933" s="1" t="s">
        <v>44</v>
      </c>
      <c r="M933" s="1" t="s">
        <v>2073</v>
      </c>
      <c r="AG933" s="1" t="s">
        <v>2074</v>
      </c>
      <c r="AH933" s="2">
        <v>44927</v>
      </c>
      <c r="AI933" s="2">
        <v>45291</v>
      </c>
      <c r="AJ933" s="2">
        <v>44927</v>
      </c>
    </row>
    <row r="934" spans="1:36">
      <c r="A934" s="1" t="str">
        <f>"Z6B3A1E747"</f>
        <v>Z6B3A1E747</v>
      </c>
      <c r="B934" s="1" t="str">
        <f t="shared" si="25"/>
        <v>02406911202</v>
      </c>
      <c r="C934" s="1" t="s">
        <v>13</v>
      </c>
      <c r="D934" s="1" t="s">
        <v>1253</v>
      </c>
      <c r="E934" s="1" t="s">
        <v>1254</v>
      </c>
      <c r="F934" s="1" t="s">
        <v>49</v>
      </c>
      <c r="G934" s="1" t="str">
        <f>"06032681006"</f>
        <v>06032681006</v>
      </c>
      <c r="I934" s="1" t="s">
        <v>1351</v>
      </c>
      <c r="L934" s="1" t="s">
        <v>44</v>
      </c>
      <c r="M934" s="1" t="s">
        <v>1255</v>
      </c>
      <c r="AG934" s="1" t="s">
        <v>2076</v>
      </c>
      <c r="AH934" s="2">
        <v>44984</v>
      </c>
      <c r="AI934" s="2">
        <v>45291</v>
      </c>
      <c r="AJ934" s="2">
        <v>44984</v>
      </c>
    </row>
    <row r="935" spans="1:36">
      <c r="A935" s="1" t="str">
        <f>"ZDD3A1E79C"</f>
        <v>ZDD3A1E79C</v>
      </c>
      <c r="B935" s="1" t="str">
        <f t="shared" si="25"/>
        <v>02406911202</v>
      </c>
      <c r="C935" s="1" t="s">
        <v>13</v>
      </c>
      <c r="D935" s="1" t="s">
        <v>1312</v>
      </c>
      <c r="E935" s="1" t="s">
        <v>2077</v>
      </c>
      <c r="F935" s="1" t="s">
        <v>49</v>
      </c>
      <c r="G935" s="1" t="str">
        <f>"03096071208"</f>
        <v>03096071208</v>
      </c>
      <c r="I935" s="1" t="s">
        <v>2078</v>
      </c>
      <c r="L935" s="1" t="s">
        <v>44</v>
      </c>
      <c r="M935" s="1" t="s">
        <v>2079</v>
      </c>
      <c r="AG935" s="1" t="s">
        <v>2079</v>
      </c>
      <c r="AH935" s="2">
        <v>44927</v>
      </c>
      <c r="AI935" s="2">
        <v>45016</v>
      </c>
      <c r="AJ935" s="2">
        <v>44927</v>
      </c>
    </row>
    <row r="936" spans="1:36">
      <c r="A936" s="1" t="str">
        <f>"ZED39F65CB"</f>
        <v>ZED39F65CB</v>
      </c>
      <c r="B936" s="1" t="str">
        <f t="shared" si="25"/>
        <v>02406911202</v>
      </c>
      <c r="C936" s="1" t="s">
        <v>13</v>
      </c>
      <c r="D936" s="1" t="s">
        <v>205</v>
      </c>
      <c r="E936" s="1" t="s">
        <v>1686</v>
      </c>
      <c r="F936" s="1" t="s">
        <v>39</v>
      </c>
      <c r="G936" s="1" t="str">
        <f>"00506910348"</f>
        <v>00506910348</v>
      </c>
      <c r="I936" s="1" t="s">
        <v>2080</v>
      </c>
      <c r="L936" s="1" t="s">
        <v>44</v>
      </c>
      <c r="M936" s="1" t="s">
        <v>917</v>
      </c>
      <c r="AG936" s="1" t="s">
        <v>124</v>
      </c>
      <c r="AH936" s="2">
        <v>44927</v>
      </c>
      <c r="AI936" s="2">
        <v>45291</v>
      </c>
      <c r="AJ936" s="2">
        <v>44927</v>
      </c>
    </row>
    <row r="937" spans="1:36">
      <c r="A937" s="1" t="str">
        <f>"ZB93A24DAE"</f>
        <v>ZB93A24DAE</v>
      </c>
      <c r="B937" s="1" t="str">
        <f t="shared" si="25"/>
        <v>02406911202</v>
      </c>
      <c r="C937" s="1" t="s">
        <v>13</v>
      </c>
      <c r="D937" s="1" t="s">
        <v>1253</v>
      </c>
      <c r="E937" s="1" t="s">
        <v>1254</v>
      </c>
      <c r="F937" s="1" t="s">
        <v>49</v>
      </c>
      <c r="G937" s="1" t="str">
        <f>"06032681006"</f>
        <v>06032681006</v>
      </c>
      <c r="I937" s="1" t="s">
        <v>1351</v>
      </c>
      <c r="L937" s="1" t="s">
        <v>44</v>
      </c>
      <c r="M937" s="1" t="s">
        <v>1255</v>
      </c>
      <c r="AG937" s="1" t="s">
        <v>2081</v>
      </c>
      <c r="AH937" s="2">
        <v>44985</v>
      </c>
      <c r="AI937" s="2">
        <v>45291</v>
      </c>
      <c r="AJ937" s="2">
        <v>44985</v>
      </c>
    </row>
    <row r="938" spans="1:36">
      <c r="A938" s="1" t="str">
        <f>"Z2B3A03F22"</f>
        <v>Z2B3A03F22</v>
      </c>
      <c r="B938" s="1" t="str">
        <f t="shared" si="25"/>
        <v>02406911202</v>
      </c>
      <c r="C938" s="1" t="s">
        <v>13</v>
      </c>
      <c r="D938" s="1" t="s">
        <v>1253</v>
      </c>
      <c r="E938" s="1" t="s">
        <v>1317</v>
      </c>
      <c r="F938" s="1" t="s">
        <v>49</v>
      </c>
      <c r="G938" s="1" t="str">
        <f>"11160660152"</f>
        <v>11160660152</v>
      </c>
      <c r="I938" s="1" t="s">
        <v>306</v>
      </c>
      <c r="L938" s="1" t="s">
        <v>44</v>
      </c>
      <c r="M938" s="1" t="s">
        <v>1255</v>
      </c>
      <c r="AG938" s="1" t="s">
        <v>81</v>
      </c>
      <c r="AH938" s="2">
        <v>44985</v>
      </c>
      <c r="AI938" s="2">
        <v>45291</v>
      </c>
      <c r="AJ938" s="2">
        <v>44985</v>
      </c>
    </row>
    <row r="939" spans="1:36">
      <c r="A939" s="1" t="str">
        <f>"Z0039971FF"</f>
        <v>Z0039971FF</v>
      </c>
      <c r="B939" s="1" t="str">
        <f t="shared" si="25"/>
        <v>02406911202</v>
      </c>
      <c r="C939" s="1" t="s">
        <v>13</v>
      </c>
      <c r="D939" s="1" t="s">
        <v>1253</v>
      </c>
      <c r="E939" s="1" t="s">
        <v>1262</v>
      </c>
      <c r="F939" s="1" t="s">
        <v>49</v>
      </c>
      <c r="G939" s="1" t="str">
        <f>"11654150157"</f>
        <v>11654150157</v>
      </c>
      <c r="I939" s="1" t="s">
        <v>1468</v>
      </c>
      <c r="L939" s="1" t="s">
        <v>44</v>
      </c>
      <c r="M939" s="1" t="s">
        <v>1255</v>
      </c>
      <c r="AG939" s="1" t="s">
        <v>2082</v>
      </c>
      <c r="AH939" s="2">
        <v>44946</v>
      </c>
      <c r="AI939" s="2">
        <v>45291</v>
      </c>
      <c r="AJ939" s="2">
        <v>44946</v>
      </c>
    </row>
    <row r="940" spans="1:36">
      <c r="A940" s="1" t="str">
        <f>"Z343994EFD"</f>
        <v>Z343994EFD</v>
      </c>
      <c r="B940" s="1" t="str">
        <f t="shared" si="25"/>
        <v>02406911202</v>
      </c>
      <c r="C940" s="1" t="s">
        <v>13</v>
      </c>
      <c r="D940" s="1" t="s">
        <v>37</v>
      </c>
      <c r="E940" s="1" t="s">
        <v>2083</v>
      </c>
      <c r="F940" s="1" t="s">
        <v>117</v>
      </c>
      <c r="G940" s="1" t="str">
        <f>"03542760172"</f>
        <v>03542760172</v>
      </c>
      <c r="I940" s="1" t="s">
        <v>1460</v>
      </c>
      <c r="L940" s="1" t="s">
        <v>44</v>
      </c>
      <c r="M940" s="1" t="s">
        <v>2084</v>
      </c>
      <c r="AG940" s="1" t="s">
        <v>2085</v>
      </c>
      <c r="AH940" s="2">
        <v>44943</v>
      </c>
      <c r="AI940" s="2">
        <v>46022</v>
      </c>
      <c r="AJ940" s="2">
        <v>44943</v>
      </c>
    </row>
    <row r="941" spans="1:36">
      <c r="A941" s="1" t="str">
        <f>"9611928DE6"</f>
        <v>9611928DE6</v>
      </c>
      <c r="B941" s="1" t="str">
        <f t="shared" si="25"/>
        <v>02406911202</v>
      </c>
      <c r="C941" s="1" t="s">
        <v>13</v>
      </c>
      <c r="D941" s="1" t="s">
        <v>37</v>
      </c>
      <c r="E941" s="1" t="s">
        <v>2086</v>
      </c>
      <c r="F941" s="1" t="s">
        <v>117</v>
      </c>
      <c r="G941" s="1" t="str">
        <f>"02385200122"</f>
        <v>02385200122</v>
      </c>
      <c r="I941" s="1" t="s">
        <v>1929</v>
      </c>
      <c r="L941" s="1" t="s">
        <v>44</v>
      </c>
      <c r="M941" s="1" t="s">
        <v>2087</v>
      </c>
      <c r="AG941" s="1" t="s">
        <v>124</v>
      </c>
      <c r="AH941" s="2">
        <v>44943</v>
      </c>
      <c r="AI941" s="2">
        <v>46022</v>
      </c>
      <c r="AJ941" s="2">
        <v>44943</v>
      </c>
    </row>
    <row r="942" spans="1:36">
      <c r="A942" s="1" t="str">
        <f>"Z893994E5E"</f>
        <v>Z893994E5E</v>
      </c>
      <c r="B942" s="1" t="str">
        <f t="shared" si="25"/>
        <v>02406911202</v>
      </c>
      <c r="C942" s="1" t="s">
        <v>13</v>
      </c>
      <c r="D942" s="1" t="s">
        <v>37</v>
      </c>
      <c r="E942" s="1" t="s">
        <v>2088</v>
      </c>
      <c r="F942" s="1" t="s">
        <v>117</v>
      </c>
      <c r="G942" s="1" t="str">
        <f>"02385200122"</f>
        <v>02385200122</v>
      </c>
      <c r="I942" s="1" t="s">
        <v>1929</v>
      </c>
      <c r="L942" s="1" t="s">
        <v>44</v>
      </c>
      <c r="M942" s="1" t="s">
        <v>2089</v>
      </c>
      <c r="AG942" s="1" t="s">
        <v>124</v>
      </c>
      <c r="AH942" s="2">
        <v>44943</v>
      </c>
      <c r="AI942" s="2">
        <v>46022</v>
      </c>
      <c r="AJ942" s="2">
        <v>44943</v>
      </c>
    </row>
    <row r="943" spans="1:36">
      <c r="A943" s="1" t="str">
        <f>"96114134EB"</f>
        <v>96114134EB</v>
      </c>
      <c r="B943" s="1" t="str">
        <f t="shared" si="25"/>
        <v>02406911202</v>
      </c>
      <c r="C943" s="1" t="s">
        <v>13</v>
      </c>
      <c r="D943" s="1" t="s">
        <v>37</v>
      </c>
      <c r="E943" s="1" t="s">
        <v>2090</v>
      </c>
      <c r="F943" s="1" t="s">
        <v>117</v>
      </c>
      <c r="G943" s="1" t="str">
        <f>"01260981004"</f>
        <v>01260981004</v>
      </c>
      <c r="I943" s="1" t="s">
        <v>2044</v>
      </c>
      <c r="L943" s="1" t="s">
        <v>44</v>
      </c>
      <c r="M943" s="1" t="s">
        <v>2091</v>
      </c>
      <c r="AG943" s="1" t="s">
        <v>124</v>
      </c>
      <c r="AH943" s="2">
        <v>44943</v>
      </c>
      <c r="AI943" s="2">
        <v>46022</v>
      </c>
      <c r="AJ943" s="2">
        <v>44943</v>
      </c>
    </row>
    <row r="944" spans="1:36">
      <c r="A944" s="1" t="str">
        <f>"9611456866"</f>
        <v>9611456866</v>
      </c>
      <c r="B944" s="1" t="str">
        <f t="shared" si="25"/>
        <v>02406911202</v>
      </c>
      <c r="C944" s="1" t="s">
        <v>13</v>
      </c>
      <c r="D944" s="1" t="s">
        <v>37</v>
      </c>
      <c r="E944" s="1" t="s">
        <v>2092</v>
      </c>
      <c r="F944" s="1" t="s">
        <v>117</v>
      </c>
      <c r="G944" s="1" t="str">
        <f>"01260981004"</f>
        <v>01260981004</v>
      </c>
      <c r="I944" s="1" t="s">
        <v>2044</v>
      </c>
      <c r="L944" s="1" t="s">
        <v>44</v>
      </c>
      <c r="M944" s="1" t="s">
        <v>2093</v>
      </c>
      <c r="AG944" s="1" t="s">
        <v>124</v>
      </c>
      <c r="AH944" s="2">
        <v>44943</v>
      </c>
      <c r="AI944" s="2">
        <v>46022</v>
      </c>
      <c r="AJ944" s="2">
        <v>44943</v>
      </c>
    </row>
    <row r="945" spans="1:36">
      <c r="A945" s="1" t="str">
        <f>"9612024D1F"</f>
        <v>9612024D1F</v>
      </c>
      <c r="B945" s="1" t="str">
        <f t="shared" si="25"/>
        <v>02406911202</v>
      </c>
      <c r="C945" s="1" t="s">
        <v>13</v>
      </c>
      <c r="D945" s="1" t="s">
        <v>37</v>
      </c>
      <c r="E945" s="1" t="s">
        <v>2094</v>
      </c>
      <c r="F945" s="1" t="s">
        <v>117</v>
      </c>
      <c r="G945" s="1" t="str">
        <f>"02774840595"</f>
        <v>02774840595</v>
      </c>
      <c r="I945" s="1" t="s">
        <v>2095</v>
      </c>
      <c r="L945" s="1" t="s">
        <v>44</v>
      </c>
      <c r="M945" s="1" t="s">
        <v>2096</v>
      </c>
      <c r="AG945" s="1" t="s">
        <v>2097</v>
      </c>
      <c r="AH945" s="2">
        <v>44943</v>
      </c>
      <c r="AI945" s="2">
        <v>46022</v>
      </c>
      <c r="AJ945" s="2">
        <v>44943</v>
      </c>
    </row>
    <row r="946" spans="1:36">
      <c r="A946" s="1" t="str">
        <f>"Z7A3994F3A"</f>
        <v>Z7A3994F3A</v>
      </c>
      <c r="B946" s="1" t="str">
        <f t="shared" si="25"/>
        <v>02406911202</v>
      </c>
      <c r="C946" s="1" t="s">
        <v>13</v>
      </c>
      <c r="D946" s="1" t="s">
        <v>37</v>
      </c>
      <c r="E946" s="1" t="s">
        <v>2098</v>
      </c>
      <c r="F946" s="1" t="s">
        <v>117</v>
      </c>
      <c r="G946" s="1" t="str">
        <f>"02689300123"</f>
        <v>02689300123</v>
      </c>
      <c r="I946" s="1" t="s">
        <v>2055</v>
      </c>
      <c r="L946" s="1" t="s">
        <v>44</v>
      </c>
      <c r="M946" s="1" t="s">
        <v>2099</v>
      </c>
      <c r="AG946" s="1" t="s">
        <v>124</v>
      </c>
      <c r="AH946" s="2">
        <v>44943</v>
      </c>
      <c r="AI946" s="2">
        <v>46022</v>
      </c>
      <c r="AJ946" s="2">
        <v>44943</v>
      </c>
    </row>
    <row r="947" spans="1:36">
      <c r="A947" s="1" t="str">
        <f>"9611639F68"</f>
        <v>9611639F68</v>
      </c>
      <c r="B947" s="1" t="str">
        <f t="shared" si="25"/>
        <v>02406911202</v>
      </c>
      <c r="C947" s="1" t="s">
        <v>13</v>
      </c>
      <c r="D947" s="1" t="s">
        <v>37</v>
      </c>
      <c r="E947" s="1" t="s">
        <v>2100</v>
      </c>
      <c r="F947" s="1" t="s">
        <v>117</v>
      </c>
      <c r="G947" s="1" t="str">
        <f>"06645680965"</f>
        <v>06645680965</v>
      </c>
      <c r="I947" s="1" t="s">
        <v>2101</v>
      </c>
      <c r="L947" s="1" t="s">
        <v>44</v>
      </c>
      <c r="M947" s="1" t="s">
        <v>2102</v>
      </c>
      <c r="AG947" s="1" t="s">
        <v>2103</v>
      </c>
      <c r="AH947" s="2">
        <v>44943</v>
      </c>
      <c r="AI947" s="2">
        <v>46022</v>
      </c>
      <c r="AJ947" s="2">
        <v>44943</v>
      </c>
    </row>
    <row r="948" spans="1:36">
      <c r="A948" s="1" t="str">
        <f>"9611639F68"</f>
        <v>9611639F68</v>
      </c>
      <c r="B948" s="1" t="str">
        <f t="shared" si="25"/>
        <v>02406911202</v>
      </c>
      <c r="C948" s="1" t="s">
        <v>13</v>
      </c>
      <c r="D948" s="1" t="s">
        <v>37</v>
      </c>
      <c r="E948" s="1" t="s">
        <v>2100</v>
      </c>
      <c r="F948" s="1" t="s">
        <v>117</v>
      </c>
      <c r="G948" s="1" t="str">
        <f>"03542760172"</f>
        <v>03542760172</v>
      </c>
      <c r="I948" s="1" t="s">
        <v>1460</v>
      </c>
      <c r="L948" s="1" t="s">
        <v>44</v>
      </c>
      <c r="M948" s="1" t="s">
        <v>2102</v>
      </c>
      <c r="AG948" s="1" t="s">
        <v>2103</v>
      </c>
      <c r="AH948" s="2">
        <v>44943</v>
      </c>
      <c r="AI948" s="2">
        <v>46022</v>
      </c>
      <c r="AJ948" s="2">
        <v>44943</v>
      </c>
    </row>
    <row r="949" spans="1:36">
      <c r="A949" s="1" t="str">
        <f>"Z0A3994F6F"</f>
        <v>Z0A3994F6F</v>
      </c>
      <c r="B949" s="1" t="str">
        <f t="shared" si="25"/>
        <v>02406911202</v>
      </c>
      <c r="C949" s="1" t="s">
        <v>13</v>
      </c>
      <c r="D949" s="1" t="s">
        <v>37</v>
      </c>
      <c r="E949" s="1" t="s">
        <v>2104</v>
      </c>
      <c r="F949" s="1" t="s">
        <v>117</v>
      </c>
      <c r="H949" s="1" t="str">
        <f>"375530292"</f>
        <v>375530292</v>
      </c>
      <c r="I949" s="1" t="s">
        <v>2105</v>
      </c>
      <c r="L949" s="1" t="s">
        <v>44</v>
      </c>
      <c r="M949" s="1" t="s">
        <v>2106</v>
      </c>
      <c r="AG949" s="1" t="s">
        <v>2107</v>
      </c>
      <c r="AH949" s="2">
        <v>44943</v>
      </c>
      <c r="AI949" s="2">
        <v>46022</v>
      </c>
      <c r="AJ949" s="2">
        <v>44943</v>
      </c>
    </row>
    <row r="950" spans="1:36">
      <c r="A950" s="1" t="str">
        <f>"961161077C"</f>
        <v>961161077C</v>
      </c>
      <c r="B950" s="1" t="str">
        <f t="shared" si="25"/>
        <v>02406911202</v>
      </c>
      <c r="C950" s="1" t="s">
        <v>13</v>
      </c>
      <c r="D950" s="1" t="s">
        <v>37</v>
      </c>
      <c r="E950" s="1" t="s">
        <v>2108</v>
      </c>
      <c r="F950" s="1" t="s">
        <v>117</v>
      </c>
      <c r="H950" s="1" t="str">
        <f>"821441358B02"</f>
        <v>821441358B02</v>
      </c>
      <c r="I950" s="1" t="s">
        <v>2109</v>
      </c>
      <c r="L950" s="1" t="s">
        <v>44</v>
      </c>
      <c r="M950" s="1" t="s">
        <v>2110</v>
      </c>
      <c r="AG950" s="1" t="s">
        <v>2111</v>
      </c>
      <c r="AH950" s="2">
        <v>44943</v>
      </c>
      <c r="AI950" s="2">
        <v>46022</v>
      </c>
      <c r="AJ950" s="2">
        <v>44943</v>
      </c>
    </row>
    <row r="951" spans="1:36">
      <c r="A951" s="1" t="str">
        <f>"9611805867"</f>
        <v>9611805867</v>
      </c>
      <c r="B951" s="1" t="str">
        <f t="shared" si="25"/>
        <v>02406911202</v>
      </c>
      <c r="C951" s="1" t="s">
        <v>13</v>
      </c>
      <c r="D951" s="1" t="s">
        <v>37</v>
      </c>
      <c r="E951" s="1" t="s">
        <v>2112</v>
      </c>
      <c r="F951" s="1" t="s">
        <v>117</v>
      </c>
      <c r="G951" s="1" t="str">
        <f>"05288990962"</f>
        <v>05288990962</v>
      </c>
      <c r="I951" s="1" t="s">
        <v>2113</v>
      </c>
      <c r="L951" s="1" t="s">
        <v>44</v>
      </c>
      <c r="M951" s="1" t="s">
        <v>2114</v>
      </c>
      <c r="AG951" s="1" t="s">
        <v>2115</v>
      </c>
      <c r="AH951" s="2">
        <v>44943</v>
      </c>
      <c r="AI951" s="2">
        <v>46022</v>
      </c>
      <c r="AJ951" s="2">
        <v>44943</v>
      </c>
    </row>
    <row r="952" spans="1:36">
      <c r="A952" s="1" t="str">
        <f>"Z2C3994ECB"</f>
        <v>Z2C3994ECB</v>
      </c>
      <c r="B952" s="1" t="str">
        <f t="shared" si="25"/>
        <v>02406911202</v>
      </c>
      <c r="C952" s="1" t="s">
        <v>13</v>
      </c>
      <c r="D952" s="1" t="s">
        <v>37</v>
      </c>
      <c r="E952" s="1" t="s">
        <v>2116</v>
      </c>
      <c r="F952" s="1" t="s">
        <v>117</v>
      </c>
      <c r="G952" s="1" t="str">
        <f>"11607280010"</f>
        <v>11607280010</v>
      </c>
      <c r="I952" s="1" t="s">
        <v>2117</v>
      </c>
      <c r="L952" s="1" t="s">
        <v>44</v>
      </c>
      <c r="M952" s="1" t="s">
        <v>2118</v>
      </c>
      <c r="AG952" s="1" t="s">
        <v>124</v>
      </c>
      <c r="AH952" s="2">
        <v>44943</v>
      </c>
      <c r="AI952" s="2">
        <v>46022</v>
      </c>
      <c r="AJ952" s="2">
        <v>44943</v>
      </c>
    </row>
    <row r="953" spans="1:36">
      <c r="A953" s="1" t="str">
        <f>"9612198CB6"</f>
        <v>9612198CB6</v>
      </c>
      <c r="B953" s="1" t="str">
        <f t="shared" si="25"/>
        <v>02406911202</v>
      </c>
      <c r="C953" s="1" t="s">
        <v>13</v>
      </c>
      <c r="D953" s="1" t="s">
        <v>37</v>
      </c>
      <c r="E953" s="1" t="s">
        <v>2119</v>
      </c>
      <c r="F953" s="1" t="s">
        <v>117</v>
      </c>
      <c r="G953" s="1" t="str">
        <f>"05101501004"</f>
        <v>05101501004</v>
      </c>
      <c r="I953" s="1" t="s">
        <v>2120</v>
      </c>
      <c r="L953" s="1" t="s">
        <v>44</v>
      </c>
      <c r="M953" s="1" t="s">
        <v>2121</v>
      </c>
      <c r="AG953" s="1" t="s">
        <v>2122</v>
      </c>
      <c r="AH953" s="2">
        <v>44943</v>
      </c>
      <c r="AI953" s="2">
        <v>46022</v>
      </c>
      <c r="AJ953" s="2">
        <v>44943</v>
      </c>
    </row>
    <row r="954" spans="1:36">
      <c r="A954" s="1" t="str">
        <f>"9612692462"</f>
        <v>9612692462</v>
      </c>
      <c r="B954" s="1" t="str">
        <f t="shared" si="25"/>
        <v>02406911202</v>
      </c>
      <c r="C954" s="1" t="s">
        <v>13</v>
      </c>
      <c r="D954" s="1" t="s">
        <v>37</v>
      </c>
      <c r="E954" s="1" t="s">
        <v>2123</v>
      </c>
      <c r="F954" s="1" t="s">
        <v>117</v>
      </c>
      <c r="G954" s="1" t="str">
        <f>"08433930966"</f>
        <v>08433930966</v>
      </c>
      <c r="I954" s="1" t="s">
        <v>2124</v>
      </c>
      <c r="L954" s="1" t="s">
        <v>44</v>
      </c>
      <c r="M954" s="1" t="s">
        <v>2125</v>
      </c>
      <c r="AG954" s="1" t="s">
        <v>124</v>
      </c>
      <c r="AH954" s="2">
        <v>44943</v>
      </c>
      <c r="AI954" s="2">
        <v>46022</v>
      </c>
      <c r="AJ954" s="2">
        <v>44943</v>
      </c>
    </row>
    <row r="955" spans="1:36">
      <c r="A955" s="1" t="str">
        <f>"9612714689"</f>
        <v>9612714689</v>
      </c>
      <c r="B955" s="1" t="str">
        <f t="shared" si="25"/>
        <v>02406911202</v>
      </c>
      <c r="C955" s="1" t="s">
        <v>13</v>
      </c>
      <c r="D955" s="1" t="s">
        <v>37</v>
      </c>
      <c r="E955" s="1" t="s">
        <v>2126</v>
      </c>
      <c r="F955" s="1" t="s">
        <v>117</v>
      </c>
      <c r="G955" s="1" t="str">
        <f>"08433930966"</f>
        <v>08433930966</v>
      </c>
      <c r="I955" s="1" t="s">
        <v>2124</v>
      </c>
      <c r="L955" s="1" t="s">
        <v>44</v>
      </c>
      <c r="M955" s="1" t="s">
        <v>2127</v>
      </c>
      <c r="AG955" s="1" t="s">
        <v>124</v>
      </c>
      <c r="AH955" s="2">
        <v>44943</v>
      </c>
      <c r="AI955" s="2">
        <v>46022</v>
      </c>
      <c r="AJ955" s="2">
        <v>44943</v>
      </c>
    </row>
    <row r="956" spans="1:36">
      <c r="A956" s="1" t="str">
        <f>"Z583A1A463"</f>
        <v>Z583A1A463</v>
      </c>
      <c r="B956" s="1" t="str">
        <f t="shared" si="25"/>
        <v>02406911202</v>
      </c>
      <c r="C956" s="1" t="s">
        <v>13</v>
      </c>
      <c r="D956" s="1" t="s">
        <v>1253</v>
      </c>
      <c r="E956" s="1" t="s">
        <v>1254</v>
      </c>
      <c r="F956" s="1" t="s">
        <v>49</v>
      </c>
      <c r="G956" s="1" t="str">
        <f>"02790240101"</f>
        <v>02790240101</v>
      </c>
      <c r="I956" s="1" t="s">
        <v>275</v>
      </c>
      <c r="L956" s="1" t="s">
        <v>44</v>
      </c>
      <c r="M956" s="1" t="s">
        <v>1255</v>
      </c>
      <c r="AG956" s="1" t="s">
        <v>2128</v>
      </c>
      <c r="AH956" s="2">
        <v>44981</v>
      </c>
      <c r="AI956" s="2">
        <v>45291</v>
      </c>
      <c r="AJ956" s="2">
        <v>44981</v>
      </c>
    </row>
    <row r="957" spans="1:36">
      <c r="A957" s="1" t="str">
        <f>"Z0039D777D"</f>
        <v>Z0039D777D</v>
      </c>
      <c r="B957" s="1" t="str">
        <f t="shared" si="25"/>
        <v>02406911202</v>
      </c>
      <c r="C957" s="1" t="s">
        <v>13</v>
      </c>
      <c r="D957" s="1" t="s">
        <v>1741</v>
      </c>
      <c r="E957" s="1" t="s">
        <v>2129</v>
      </c>
      <c r="F957" s="1" t="s">
        <v>39</v>
      </c>
      <c r="G957" s="1" t="str">
        <f>"06736060630"</f>
        <v>06736060630</v>
      </c>
      <c r="I957" s="1" t="s">
        <v>2130</v>
      </c>
      <c r="L957" s="1" t="s">
        <v>44</v>
      </c>
      <c r="M957" s="1" t="s">
        <v>81</v>
      </c>
      <c r="AG957" s="1" t="s">
        <v>81</v>
      </c>
      <c r="AH957" s="2">
        <v>44927</v>
      </c>
      <c r="AI957" s="2">
        <v>45291</v>
      </c>
      <c r="AJ957" s="2">
        <v>44927</v>
      </c>
    </row>
    <row r="958" spans="1:36">
      <c r="A958" s="1" t="str">
        <f>"Z0039D777D"</f>
        <v>Z0039D777D</v>
      </c>
      <c r="B958" s="1" t="str">
        <f t="shared" si="25"/>
        <v>02406911202</v>
      </c>
      <c r="C958" s="1" t="s">
        <v>13</v>
      </c>
      <c r="D958" s="1" t="s">
        <v>1741</v>
      </c>
      <c r="E958" s="1" t="s">
        <v>2129</v>
      </c>
      <c r="F958" s="1" t="s">
        <v>39</v>
      </c>
      <c r="G958" s="1" t="str">
        <f>"02169281207"</f>
        <v>02169281207</v>
      </c>
      <c r="I958" s="1" t="s">
        <v>1524</v>
      </c>
      <c r="L958" s="1" t="s">
        <v>41</v>
      </c>
      <c r="AJ958" s="2">
        <v>44927</v>
      </c>
    </row>
    <row r="959" spans="1:36">
      <c r="A959" s="1" t="str">
        <f t="shared" ref="A959:A972" si="26">"ZBF39D7AED"</f>
        <v>ZBF39D7AED</v>
      </c>
      <c r="B959" s="1" t="str">
        <f t="shared" si="25"/>
        <v>02406911202</v>
      </c>
      <c r="C959" s="1" t="s">
        <v>13</v>
      </c>
      <c r="D959" s="1" t="s">
        <v>1741</v>
      </c>
      <c r="E959" s="1" t="s">
        <v>2131</v>
      </c>
      <c r="F959" s="1" t="s">
        <v>39</v>
      </c>
      <c r="G959" s="1" t="str">
        <f>"02252270398"</f>
        <v>02252270398</v>
      </c>
      <c r="I959" s="1" t="s">
        <v>2132</v>
      </c>
      <c r="L959" s="1" t="s">
        <v>44</v>
      </c>
      <c r="M959" s="1" t="s">
        <v>2133</v>
      </c>
      <c r="AG959" s="1" t="s">
        <v>2133</v>
      </c>
      <c r="AH959" s="2">
        <v>44964</v>
      </c>
      <c r="AI959" s="2">
        <v>45291</v>
      </c>
      <c r="AJ959" s="2">
        <v>44964</v>
      </c>
    </row>
    <row r="960" spans="1:36">
      <c r="A960" s="1" t="str">
        <f t="shared" si="26"/>
        <v>ZBF39D7AED</v>
      </c>
      <c r="B960" s="1" t="str">
        <f t="shared" si="25"/>
        <v>02406911202</v>
      </c>
      <c r="C960" s="1" t="s">
        <v>13</v>
      </c>
      <c r="D960" s="1" t="s">
        <v>1741</v>
      </c>
      <c r="E960" s="1" t="s">
        <v>2131</v>
      </c>
      <c r="F960" s="1" t="s">
        <v>39</v>
      </c>
      <c r="G960" s="1" t="str">
        <f>"03359340837"</f>
        <v>03359340837</v>
      </c>
      <c r="I960" s="1" t="s">
        <v>1881</v>
      </c>
      <c r="L960" s="1" t="s">
        <v>41</v>
      </c>
      <c r="AJ960" s="2">
        <v>44964</v>
      </c>
    </row>
    <row r="961" spans="1:36">
      <c r="A961" s="1" t="str">
        <f t="shared" si="26"/>
        <v>ZBF39D7AED</v>
      </c>
      <c r="B961" s="1" t="str">
        <f t="shared" si="25"/>
        <v>02406911202</v>
      </c>
      <c r="C961" s="1" t="s">
        <v>13</v>
      </c>
      <c r="D961" s="1" t="s">
        <v>1741</v>
      </c>
      <c r="E961" s="1" t="s">
        <v>2131</v>
      </c>
      <c r="F961" s="1" t="s">
        <v>39</v>
      </c>
      <c r="G961" s="1" t="str">
        <f>"00624681201"</f>
        <v>00624681201</v>
      </c>
      <c r="I961" s="1" t="s">
        <v>1883</v>
      </c>
      <c r="L961" s="1" t="s">
        <v>41</v>
      </c>
      <c r="AJ961" s="2">
        <v>44964</v>
      </c>
    </row>
    <row r="962" spans="1:36">
      <c r="A962" s="1" t="str">
        <f t="shared" si="26"/>
        <v>ZBF39D7AED</v>
      </c>
      <c r="B962" s="1" t="str">
        <f t="shared" si="25"/>
        <v>02406911202</v>
      </c>
      <c r="C962" s="1" t="s">
        <v>13</v>
      </c>
      <c r="D962" s="1" t="s">
        <v>1741</v>
      </c>
      <c r="E962" s="1" t="s">
        <v>2131</v>
      </c>
      <c r="F962" s="1" t="s">
        <v>39</v>
      </c>
      <c r="G962" s="1" t="str">
        <f>"01486330309"</f>
        <v>01486330309</v>
      </c>
      <c r="I962" s="1" t="s">
        <v>2134</v>
      </c>
      <c r="L962" s="1" t="s">
        <v>41</v>
      </c>
      <c r="AJ962" s="2">
        <v>44964</v>
      </c>
    </row>
    <row r="963" spans="1:36">
      <c r="A963" s="1" t="str">
        <f t="shared" si="26"/>
        <v>ZBF39D7AED</v>
      </c>
      <c r="B963" s="1" t="str">
        <f t="shared" si="25"/>
        <v>02406911202</v>
      </c>
      <c r="C963" s="1" t="s">
        <v>13</v>
      </c>
      <c r="D963" s="1" t="s">
        <v>1741</v>
      </c>
      <c r="E963" s="1" t="s">
        <v>2131</v>
      </c>
      <c r="F963" s="1" t="s">
        <v>39</v>
      </c>
      <c r="G963" s="1" t="str">
        <f>"04427081007"</f>
        <v>04427081007</v>
      </c>
      <c r="I963" s="1" t="s">
        <v>2135</v>
      </c>
      <c r="L963" s="1" t="s">
        <v>41</v>
      </c>
      <c r="AJ963" s="2">
        <v>44964</v>
      </c>
    </row>
    <row r="964" spans="1:36">
      <c r="A964" s="1" t="str">
        <f t="shared" si="26"/>
        <v>ZBF39D7AED</v>
      </c>
      <c r="B964" s="1" t="str">
        <f t="shared" si="25"/>
        <v>02406911202</v>
      </c>
      <c r="C964" s="1" t="s">
        <v>13</v>
      </c>
      <c r="D964" s="1" t="s">
        <v>1741</v>
      </c>
      <c r="E964" s="1" t="s">
        <v>2131</v>
      </c>
      <c r="F964" s="1" t="s">
        <v>39</v>
      </c>
      <c r="G964" s="1" t="str">
        <f>"02138390360"</f>
        <v>02138390360</v>
      </c>
      <c r="I964" s="1" t="s">
        <v>1879</v>
      </c>
      <c r="L964" s="1" t="s">
        <v>41</v>
      </c>
      <c r="AJ964" s="2">
        <v>44964</v>
      </c>
    </row>
    <row r="965" spans="1:36">
      <c r="A965" s="1" t="str">
        <f t="shared" si="26"/>
        <v>ZBF39D7AED</v>
      </c>
      <c r="B965" s="1" t="str">
        <f t="shared" si="25"/>
        <v>02406911202</v>
      </c>
      <c r="C965" s="1" t="s">
        <v>13</v>
      </c>
      <c r="D965" s="1" t="s">
        <v>1741</v>
      </c>
      <c r="E965" s="1" t="s">
        <v>2131</v>
      </c>
      <c r="F965" s="1" t="s">
        <v>39</v>
      </c>
      <c r="G965" s="1" t="str">
        <f>"02491851206"</f>
        <v>02491851206</v>
      </c>
      <c r="I965" s="1" t="s">
        <v>2136</v>
      </c>
      <c r="L965" s="1" t="s">
        <v>41</v>
      </c>
      <c r="AJ965" s="2">
        <v>44964</v>
      </c>
    </row>
    <row r="966" spans="1:36">
      <c r="A966" s="1" t="str">
        <f t="shared" si="26"/>
        <v>ZBF39D7AED</v>
      </c>
      <c r="B966" s="1" t="str">
        <f t="shared" ref="B966:B1029" si="27">"02406911202"</f>
        <v>02406911202</v>
      </c>
      <c r="C966" s="1" t="s">
        <v>13</v>
      </c>
      <c r="D966" s="1" t="s">
        <v>1741</v>
      </c>
      <c r="E966" s="1" t="s">
        <v>2131</v>
      </c>
      <c r="F966" s="1" t="s">
        <v>39</v>
      </c>
      <c r="G966" s="1" t="str">
        <f>"01813500541"</f>
        <v>01813500541</v>
      </c>
      <c r="I966" s="1" t="s">
        <v>2137</v>
      </c>
      <c r="L966" s="1" t="s">
        <v>41</v>
      </c>
      <c r="AJ966" s="2">
        <v>44964</v>
      </c>
    </row>
    <row r="967" spans="1:36">
      <c r="A967" s="1" t="str">
        <f t="shared" si="26"/>
        <v>ZBF39D7AED</v>
      </c>
      <c r="B967" s="1" t="str">
        <f t="shared" si="27"/>
        <v>02406911202</v>
      </c>
      <c r="C967" s="1" t="s">
        <v>13</v>
      </c>
      <c r="D967" s="1" t="s">
        <v>1741</v>
      </c>
      <c r="E967" s="1" t="s">
        <v>2131</v>
      </c>
      <c r="F967" s="1" t="s">
        <v>39</v>
      </c>
      <c r="G967" s="1" t="str">
        <f>"00740430335"</f>
        <v>00740430335</v>
      </c>
      <c r="I967" s="1" t="s">
        <v>1888</v>
      </c>
      <c r="L967" s="1" t="s">
        <v>41</v>
      </c>
      <c r="AJ967" s="2">
        <v>44964</v>
      </c>
    </row>
    <row r="968" spans="1:36">
      <c r="A968" s="1" t="str">
        <f t="shared" si="26"/>
        <v>ZBF39D7AED</v>
      </c>
      <c r="B968" s="1" t="str">
        <f t="shared" si="27"/>
        <v>02406911202</v>
      </c>
      <c r="C968" s="1" t="s">
        <v>13</v>
      </c>
      <c r="D968" s="1" t="s">
        <v>1741</v>
      </c>
      <c r="E968" s="1" t="s">
        <v>2131</v>
      </c>
      <c r="F968" s="1" t="s">
        <v>39</v>
      </c>
      <c r="G968" s="1" t="str">
        <f>"06736060630"</f>
        <v>06736060630</v>
      </c>
      <c r="I968" s="1" t="s">
        <v>2130</v>
      </c>
      <c r="L968" s="1" t="s">
        <v>41</v>
      </c>
      <c r="AJ968" s="2">
        <v>44964</v>
      </c>
    </row>
    <row r="969" spans="1:36">
      <c r="A969" s="1" t="str">
        <f t="shared" si="26"/>
        <v>ZBF39D7AED</v>
      </c>
      <c r="B969" s="1" t="str">
        <f t="shared" si="27"/>
        <v>02406911202</v>
      </c>
      <c r="C969" s="1" t="s">
        <v>13</v>
      </c>
      <c r="D969" s="1" t="s">
        <v>1741</v>
      </c>
      <c r="E969" s="1" t="s">
        <v>2131</v>
      </c>
      <c r="F969" s="1" t="s">
        <v>39</v>
      </c>
      <c r="G969" s="1" t="str">
        <f>"09653091000"</f>
        <v>09653091000</v>
      </c>
      <c r="I969" s="1" t="s">
        <v>2138</v>
      </c>
      <c r="L969" s="1" t="s">
        <v>41</v>
      </c>
      <c r="AJ969" s="2">
        <v>44964</v>
      </c>
    </row>
    <row r="970" spans="1:36">
      <c r="A970" s="1" t="str">
        <f t="shared" si="26"/>
        <v>ZBF39D7AED</v>
      </c>
      <c r="B970" s="1" t="str">
        <f t="shared" si="27"/>
        <v>02406911202</v>
      </c>
      <c r="C970" s="1" t="s">
        <v>13</v>
      </c>
      <c r="D970" s="1" t="s">
        <v>1741</v>
      </c>
      <c r="E970" s="1" t="s">
        <v>2131</v>
      </c>
      <c r="F970" s="1" t="s">
        <v>39</v>
      </c>
      <c r="G970" s="1" t="str">
        <f>"00305120974"</f>
        <v>00305120974</v>
      </c>
      <c r="I970" s="1" t="s">
        <v>2139</v>
      </c>
      <c r="L970" s="1" t="s">
        <v>41</v>
      </c>
      <c r="AJ970" s="2">
        <v>44964</v>
      </c>
    </row>
    <row r="971" spans="1:36">
      <c r="A971" s="1" t="str">
        <f t="shared" si="26"/>
        <v>ZBF39D7AED</v>
      </c>
      <c r="B971" s="1" t="str">
        <f t="shared" si="27"/>
        <v>02406911202</v>
      </c>
      <c r="C971" s="1" t="s">
        <v>13</v>
      </c>
      <c r="D971" s="1" t="s">
        <v>1741</v>
      </c>
      <c r="E971" s="1" t="s">
        <v>2131</v>
      </c>
      <c r="F971" s="1" t="s">
        <v>39</v>
      </c>
      <c r="G971" s="1" t="str">
        <f>"09588050154"</f>
        <v>09588050154</v>
      </c>
      <c r="I971" s="1" t="s">
        <v>1889</v>
      </c>
      <c r="L971" s="1" t="s">
        <v>41</v>
      </c>
      <c r="AJ971" s="2">
        <v>44964</v>
      </c>
    </row>
    <row r="972" spans="1:36">
      <c r="A972" s="1" t="str">
        <f t="shared" si="26"/>
        <v>ZBF39D7AED</v>
      </c>
      <c r="B972" s="1" t="str">
        <f t="shared" si="27"/>
        <v>02406911202</v>
      </c>
      <c r="C972" s="1" t="s">
        <v>13</v>
      </c>
      <c r="D972" s="1" t="s">
        <v>1741</v>
      </c>
      <c r="E972" s="1" t="s">
        <v>2131</v>
      </c>
      <c r="F972" s="1" t="s">
        <v>39</v>
      </c>
      <c r="G972" s="1" t="str">
        <f>"02703241204"</f>
        <v>02703241204</v>
      </c>
      <c r="I972" s="1" t="s">
        <v>1890</v>
      </c>
      <c r="L972" s="1" t="s">
        <v>41</v>
      </c>
      <c r="AJ972" s="2">
        <v>44964</v>
      </c>
    </row>
    <row r="973" spans="1:36">
      <c r="A973" s="1" t="str">
        <f>"Z8E3A1B2F1"</f>
        <v>Z8E3A1B2F1</v>
      </c>
      <c r="B973" s="1" t="str">
        <f t="shared" si="27"/>
        <v>02406911202</v>
      </c>
      <c r="C973" s="1" t="s">
        <v>13</v>
      </c>
      <c r="D973" s="1" t="s">
        <v>1253</v>
      </c>
      <c r="E973" s="1" t="s">
        <v>1387</v>
      </c>
      <c r="F973" s="1" t="s">
        <v>49</v>
      </c>
      <c r="G973" s="1" t="str">
        <f>"00696360155"</f>
        <v>00696360155</v>
      </c>
      <c r="I973" s="1" t="s">
        <v>1362</v>
      </c>
      <c r="L973" s="1" t="s">
        <v>44</v>
      </c>
      <c r="M973" s="1" t="s">
        <v>1255</v>
      </c>
      <c r="AG973" s="1" t="s">
        <v>124</v>
      </c>
      <c r="AH973" s="2">
        <v>44981</v>
      </c>
      <c r="AI973" s="2">
        <v>45291</v>
      </c>
      <c r="AJ973" s="2">
        <v>44981</v>
      </c>
    </row>
    <row r="974" spans="1:36">
      <c r="A974" s="1" t="str">
        <f>"ZA739BB949"</f>
        <v>ZA739BB949</v>
      </c>
      <c r="B974" s="1" t="str">
        <f t="shared" si="27"/>
        <v>02406911202</v>
      </c>
      <c r="C974" s="1" t="s">
        <v>13</v>
      </c>
      <c r="D974" s="1" t="s">
        <v>1312</v>
      </c>
      <c r="E974" s="1" t="s">
        <v>2140</v>
      </c>
      <c r="F974" s="1" t="s">
        <v>49</v>
      </c>
      <c r="G974" s="1" t="str">
        <f>"02148950344"</f>
        <v>02148950344</v>
      </c>
      <c r="I974" s="1" t="s">
        <v>1368</v>
      </c>
      <c r="L974" s="1" t="s">
        <v>44</v>
      </c>
      <c r="M974" s="1" t="s">
        <v>1314</v>
      </c>
      <c r="AG974" s="1" t="s">
        <v>2141</v>
      </c>
      <c r="AH974" s="2">
        <v>44957</v>
      </c>
      <c r="AI974" s="2">
        <v>45657</v>
      </c>
      <c r="AJ974" s="2">
        <v>44957</v>
      </c>
    </row>
    <row r="975" spans="1:36">
      <c r="A975" s="1" t="str">
        <f>"ZC939C18BB"</f>
        <v>ZC939C18BB</v>
      </c>
      <c r="B975" s="1" t="str">
        <f t="shared" si="27"/>
        <v>02406911202</v>
      </c>
      <c r="C975" s="1" t="s">
        <v>13</v>
      </c>
      <c r="D975" s="1" t="s">
        <v>1312</v>
      </c>
      <c r="E975" s="1" t="s">
        <v>2142</v>
      </c>
      <c r="F975" s="1" t="s">
        <v>49</v>
      </c>
      <c r="G975" s="1" t="str">
        <f>"01137680938"</f>
        <v>01137680938</v>
      </c>
      <c r="I975" s="1" t="s">
        <v>2143</v>
      </c>
      <c r="L975" s="1" t="s">
        <v>44</v>
      </c>
      <c r="M975" s="1" t="s">
        <v>1314</v>
      </c>
      <c r="AG975" s="1" t="s">
        <v>2144</v>
      </c>
      <c r="AH975" s="2">
        <v>44958</v>
      </c>
      <c r="AI975" s="2">
        <v>46022</v>
      </c>
      <c r="AJ975" s="2">
        <v>44958</v>
      </c>
    </row>
    <row r="976" spans="1:36">
      <c r="A976" s="1" t="str">
        <f>"ZE73A27879"</f>
        <v>ZE73A27879</v>
      </c>
      <c r="B976" s="1" t="str">
        <f t="shared" si="27"/>
        <v>02406911202</v>
      </c>
      <c r="C976" s="1" t="s">
        <v>13</v>
      </c>
      <c r="D976" s="1" t="s">
        <v>1312</v>
      </c>
      <c r="E976" s="1" t="s">
        <v>2145</v>
      </c>
      <c r="F976" s="1" t="s">
        <v>49</v>
      </c>
      <c r="G976" s="1" t="str">
        <f>"03277750133"</f>
        <v>03277750133</v>
      </c>
      <c r="I976" s="1" t="s">
        <v>2146</v>
      </c>
      <c r="L976" s="1" t="s">
        <v>44</v>
      </c>
      <c r="M976" s="1" t="s">
        <v>933</v>
      </c>
      <c r="AG976" s="1" t="s">
        <v>2147</v>
      </c>
      <c r="AH976" s="2">
        <v>44985</v>
      </c>
      <c r="AI976" s="2">
        <v>45291</v>
      </c>
      <c r="AJ976" s="2">
        <v>44985</v>
      </c>
    </row>
    <row r="977" spans="1:36">
      <c r="A977" s="1" t="str">
        <f>"Z79392897D"</f>
        <v>Z79392897D</v>
      </c>
      <c r="B977" s="1" t="str">
        <f t="shared" si="27"/>
        <v>02406911202</v>
      </c>
      <c r="C977" s="1" t="s">
        <v>13</v>
      </c>
      <c r="D977" s="1" t="s">
        <v>1257</v>
      </c>
      <c r="E977" s="1" t="s">
        <v>2148</v>
      </c>
      <c r="F977" s="1" t="s">
        <v>49</v>
      </c>
      <c r="G977" s="1" t="str">
        <f>"01620830347"</f>
        <v>01620830347</v>
      </c>
      <c r="I977" s="1" t="s">
        <v>2149</v>
      </c>
      <c r="L977" s="1" t="s">
        <v>44</v>
      </c>
      <c r="M977" s="1" t="s">
        <v>2150</v>
      </c>
      <c r="AG977" s="1" t="s">
        <v>2151</v>
      </c>
      <c r="AH977" s="2">
        <v>44958</v>
      </c>
      <c r="AI977" s="2">
        <v>44985</v>
      </c>
      <c r="AJ977" s="2">
        <v>44958</v>
      </c>
    </row>
    <row r="978" spans="1:36">
      <c r="A978" s="1" t="str">
        <f>"Z79392897D"</f>
        <v>Z79392897D</v>
      </c>
      <c r="B978" s="1" t="str">
        <f t="shared" si="27"/>
        <v>02406911202</v>
      </c>
      <c r="C978" s="1" t="s">
        <v>13</v>
      </c>
      <c r="D978" s="1" t="s">
        <v>1257</v>
      </c>
      <c r="E978" s="1" t="s">
        <v>2148</v>
      </c>
      <c r="F978" s="1" t="s">
        <v>49</v>
      </c>
      <c r="G978" s="1" t="str">
        <f>"02032400265"</f>
        <v>02032400265</v>
      </c>
      <c r="I978" s="1" t="s">
        <v>2152</v>
      </c>
      <c r="L978" s="1" t="s">
        <v>41</v>
      </c>
      <c r="AJ978" s="2">
        <v>44958</v>
      </c>
    </row>
    <row r="979" spans="1:36">
      <c r="A979" s="1" t="str">
        <f>"Z963A28109"</f>
        <v>Z963A28109</v>
      </c>
      <c r="B979" s="1" t="str">
        <f t="shared" si="27"/>
        <v>02406911202</v>
      </c>
      <c r="C979" s="1" t="s">
        <v>13</v>
      </c>
      <c r="D979" s="1" t="s">
        <v>1741</v>
      </c>
      <c r="E979" s="1" t="s">
        <v>2153</v>
      </c>
      <c r="F979" s="1" t="s">
        <v>49</v>
      </c>
      <c r="G979" s="1" t="str">
        <f>"00875400962"</f>
        <v>00875400962</v>
      </c>
      <c r="I979" s="1" t="s">
        <v>2154</v>
      </c>
      <c r="L979" s="1" t="s">
        <v>44</v>
      </c>
      <c r="M979" s="1" t="s">
        <v>2155</v>
      </c>
      <c r="AG979" s="1" t="s">
        <v>930</v>
      </c>
      <c r="AH979" s="2">
        <v>44927</v>
      </c>
      <c r="AI979" s="2">
        <v>45291</v>
      </c>
      <c r="AJ979" s="2">
        <v>44927</v>
      </c>
    </row>
    <row r="980" spans="1:36">
      <c r="A980" s="1" t="str">
        <f>"Z883A28420"</f>
        <v>Z883A28420</v>
      </c>
      <c r="B980" s="1" t="str">
        <f t="shared" si="27"/>
        <v>02406911202</v>
      </c>
      <c r="C980" s="1" t="s">
        <v>13</v>
      </c>
      <c r="D980" s="1" t="s">
        <v>205</v>
      </c>
      <c r="E980" s="1" t="s">
        <v>2156</v>
      </c>
      <c r="F980" s="1" t="s">
        <v>49</v>
      </c>
      <c r="G980" s="1" t="str">
        <f>"02718421205"</f>
        <v>02718421205</v>
      </c>
      <c r="I980" s="1" t="s">
        <v>2157</v>
      </c>
      <c r="L980" s="1" t="s">
        <v>44</v>
      </c>
      <c r="M980" s="1" t="s">
        <v>2158</v>
      </c>
      <c r="AG980" s="1" t="s">
        <v>2159</v>
      </c>
      <c r="AH980" s="2">
        <v>44927</v>
      </c>
      <c r="AI980" s="2">
        <v>45657</v>
      </c>
      <c r="AJ980" s="2">
        <v>44927</v>
      </c>
    </row>
    <row r="981" spans="1:36">
      <c r="A981" s="1" t="str">
        <f>"Z7C3A28BAD"</f>
        <v>Z7C3A28BAD</v>
      </c>
      <c r="B981" s="1" t="str">
        <f t="shared" si="27"/>
        <v>02406911202</v>
      </c>
      <c r="C981" s="1" t="s">
        <v>13</v>
      </c>
      <c r="D981" s="1" t="s">
        <v>1253</v>
      </c>
      <c r="E981" s="1" t="s">
        <v>1270</v>
      </c>
      <c r="F981" s="1" t="s">
        <v>49</v>
      </c>
      <c r="G981" s="1" t="str">
        <f>"02217770235"</f>
        <v>02217770235</v>
      </c>
      <c r="I981" s="1" t="s">
        <v>1369</v>
      </c>
      <c r="L981" s="1" t="s">
        <v>44</v>
      </c>
      <c r="M981" s="1" t="s">
        <v>1255</v>
      </c>
      <c r="AG981" s="1" t="s">
        <v>2160</v>
      </c>
      <c r="AH981" s="2">
        <v>44985</v>
      </c>
      <c r="AI981" s="2">
        <v>45291</v>
      </c>
      <c r="AJ981" s="2">
        <v>44985</v>
      </c>
    </row>
    <row r="982" spans="1:36">
      <c r="A982" s="1" t="str">
        <f>"Z083A293A1"</f>
        <v>Z083A293A1</v>
      </c>
      <c r="B982" s="1" t="str">
        <f t="shared" si="27"/>
        <v>02406911202</v>
      </c>
      <c r="C982" s="1" t="s">
        <v>13</v>
      </c>
      <c r="D982" s="1" t="s">
        <v>1253</v>
      </c>
      <c r="E982" s="1" t="s">
        <v>1260</v>
      </c>
      <c r="F982" s="1" t="s">
        <v>49</v>
      </c>
      <c r="G982" s="1" t="str">
        <f>"01975020130"</f>
        <v>01975020130</v>
      </c>
      <c r="I982" s="1" t="s">
        <v>1737</v>
      </c>
      <c r="L982" s="1" t="s">
        <v>44</v>
      </c>
      <c r="M982" s="1" t="s">
        <v>1255</v>
      </c>
      <c r="AG982" s="1" t="s">
        <v>2161</v>
      </c>
      <c r="AH982" s="2">
        <v>44986</v>
      </c>
      <c r="AI982" s="2">
        <v>45291</v>
      </c>
      <c r="AJ982" s="2">
        <v>44986</v>
      </c>
    </row>
    <row r="983" spans="1:36">
      <c r="A983" s="1" t="str">
        <f>"Z793A293B1"</f>
        <v>Z793A293B1</v>
      </c>
      <c r="B983" s="1" t="str">
        <f t="shared" si="27"/>
        <v>02406911202</v>
      </c>
      <c r="C983" s="1" t="s">
        <v>13</v>
      </c>
      <c r="D983" s="1" t="s">
        <v>1312</v>
      </c>
      <c r="E983" s="1" t="s">
        <v>1974</v>
      </c>
      <c r="F983" s="1" t="s">
        <v>49</v>
      </c>
      <c r="G983" s="1" t="str">
        <f>"01858671207"</f>
        <v>01858671207</v>
      </c>
      <c r="I983" s="1" t="s">
        <v>2162</v>
      </c>
      <c r="L983" s="1" t="s">
        <v>44</v>
      </c>
      <c r="M983" s="1" t="s">
        <v>2163</v>
      </c>
      <c r="AG983" s="1" t="s">
        <v>2163</v>
      </c>
      <c r="AH983" s="2">
        <v>44927</v>
      </c>
      <c r="AI983" s="2">
        <v>45016</v>
      </c>
      <c r="AJ983" s="2">
        <v>44927</v>
      </c>
    </row>
    <row r="984" spans="1:36">
      <c r="A984" s="1" t="str">
        <f>"ZBD3A29750"</f>
        <v>ZBD3A29750</v>
      </c>
      <c r="B984" s="1" t="str">
        <f t="shared" si="27"/>
        <v>02406911202</v>
      </c>
      <c r="C984" s="1" t="s">
        <v>13</v>
      </c>
      <c r="D984" s="1" t="s">
        <v>1253</v>
      </c>
      <c r="E984" s="1" t="s">
        <v>1260</v>
      </c>
      <c r="F984" s="1" t="s">
        <v>49</v>
      </c>
      <c r="G984" s="1" t="str">
        <f>"03353370160"</f>
        <v>03353370160</v>
      </c>
      <c r="I984" s="1" t="s">
        <v>1337</v>
      </c>
      <c r="L984" s="1" t="s">
        <v>44</v>
      </c>
      <c r="M984" s="1" t="s">
        <v>1255</v>
      </c>
      <c r="AG984" s="1" t="s">
        <v>2164</v>
      </c>
      <c r="AH984" s="2">
        <v>45012</v>
      </c>
      <c r="AI984" s="2">
        <v>45291</v>
      </c>
      <c r="AJ984" s="2">
        <v>45012</v>
      </c>
    </row>
    <row r="985" spans="1:36">
      <c r="A985" s="1" t="str">
        <f>"Z7F3A2993B"</f>
        <v>Z7F3A2993B</v>
      </c>
      <c r="B985" s="1" t="str">
        <f t="shared" si="27"/>
        <v>02406911202</v>
      </c>
      <c r="C985" s="1" t="s">
        <v>13</v>
      </c>
      <c r="D985" s="1" t="s">
        <v>1253</v>
      </c>
      <c r="E985" s="1" t="s">
        <v>1254</v>
      </c>
      <c r="F985" s="1" t="s">
        <v>49</v>
      </c>
      <c r="G985" s="1" t="str">
        <f>"04051160234"</f>
        <v>04051160234</v>
      </c>
      <c r="I985" s="1" t="s">
        <v>2165</v>
      </c>
      <c r="L985" s="1" t="s">
        <v>44</v>
      </c>
      <c r="M985" s="1" t="s">
        <v>1255</v>
      </c>
      <c r="AG985" s="1" t="s">
        <v>2166</v>
      </c>
      <c r="AH985" s="2">
        <v>44986</v>
      </c>
      <c r="AI985" s="2">
        <v>45291</v>
      </c>
      <c r="AJ985" s="2">
        <v>44986</v>
      </c>
    </row>
    <row r="986" spans="1:36">
      <c r="A986" s="1" t="str">
        <f>"ZA13A2979C"</f>
        <v>ZA13A2979C</v>
      </c>
      <c r="B986" s="1" t="str">
        <f t="shared" si="27"/>
        <v>02406911202</v>
      </c>
      <c r="C986" s="1" t="s">
        <v>13</v>
      </c>
      <c r="D986" s="1" t="s">
        <v>1253</v>
      </c>
      <c r="E986" s="1" t="s">
        <v>1260</v>
      </c>
      <c r="F986" s="1" t="s">
        <v>49</v>
      </c>
      <c r="G986" s="1" t="str">
        <f>"09270550016"</f>
        <v>09270550016</v>
      </c>
      <c r="I986" s="1" t="s">
        <v>1328</v>
      </c>
      <c r="L986" s="1" t="s">
        <v>44</v>
      </c>
      <c r="M986" s="1" t="s">
        <v>1255</v>
      </c>
      <c r="AG986" s="1" t="s">
        <v>2167</v>
      </c>
      <c r="AH986" s="2">
        <v>44986</v>
      </c>
      <c r="AI986" s="2">
        <v>45291</v>
      </c>
      <c r="AJ986" s="2">
        <v>44986</v>
      </c>
    </row>
    <row r="987" spans="1:36">
      <c r="A987" s="1" t="str">
        <f>"ZF53A2A181"</f>
        <v>ZF53A2A181</v>
      </c>
      <c r="B987" s="1" t="str">
        <f t="shared" si="27"/>
        <v>02406911202</v>
      </c>
      <c r="C987" s="1" t="s">
        <v>13</v>
      </c>
      <c r="D987" s="1" t="s">
        <v>1253</v>
      </c>
      <c r="E987" s="1" t="s">
        <v>1262</v>
      </c>
      <c r="F987" s="1" t="s">
        <v>49</v>
      </c>
      <c r="G987" s="1" t="str">
        <f>"00426150488"</f>
        <v>00426150488</v>
      </c>
      <c r="I987" s="1" t="s">
        <v>2168</v>
      </c>
      <c r="L987" s="1" t="s">
        <v>44</v>
      </c>
      <c r="M987" s="1" t="s">
        <v>1255</v>
      </c>
      <c r="AG987" s="1" t="s">
        <v>2169</v>
      </c>
      <c r="AH987" s="2">
        <v>44986</v>
      </c>
      <c r="AI987" s="2">
        <v>45291</v>
      </c>
      <c r="AJ987" s="2">
        <v>44986</v>
      </c>
    </row>
    <row r="988" spans="1:36">
      <c r="A988" s="1" t="str">
        <f>"Z943A2C32B"</f>
        <v>Z943A2C32B</v>
      </c>
      <c r="B988" s="1" t="str">
        <f t="shared" si="27"/>
        <v>02406911202</v>
      </c>
      <c r="C988" s="1" t="s">
        <v>13</v>
      </c>
      <c r="D988" s="1" t="s">
        <v>1253</v>
      </c>
      <c r="E988" s="1" t="s">
        <v>2170</v>
      </c>
      <c r="F988" s="1" t="s">
        <v>49</v>
      </c>
      <c r="G988" s="1" t="str">
        <f>"00887261006"</f>
        <v>00887261006</v>
      </c>
      <c r="I988" s="1" t="s">
        <v>2041</v>
      </c>
      <c r="L988" s="1" t="s">
        <v>44</v>
      </c>
      <c r="M988" s="1" t="s">
        <v>1255</v>
      </c>
      <c r="AG988" s="1" t="s">
        <v>2171</v>
      </c>
      <c r="AH988" s="2">
        <v>44986</v>
      </c>
      <c r="AI988" s="2">
        <v>45291</v>
      </c>
      <c r="AJ988" s="2">
        <v>44986</v>
      </c>
    </row>
    <row r="989" spans="1:36">
      <c r="A989" s="1" t="str">
        <f>"ZC63A302A6"</f>
        <v>ZC63A302A6</v>
      </c>
      <c r="B989" s="1" t="str">
        <f t="shared" si="27"/>
        <v>02406911202</v>
      </c>
      <c r="C989" s="1" t="s">
        <v>13</v>
      </c>
      <c r="D989" s="1" t="s">
        <v>1312</v>
      </c>
      <c r="E989" s="1" t="s">
        <v>1424</v>
      </c>
      <c r="F989" s="1" t="s">
        <v>49</v>
      </c>
      <c r="G989" s="1" t="str">
        <f>"01228210371"</f>
        <v>01228210371</v>
      </c>
      <c r="I989" s="1" t="s">
        <v>1425</v>
      </c>
      <c r="L989" s="1" t="s">
        <v>44</v>
      </c>
      <c r="M989" s="1" t="s">
        <v>1314</v>
      </c>
      <c r="AG989" s="1" t="s">
        <v>1426</v>
      </c>
      <c r="AH989" s="2">
        <v>44987</v>
      </c>
      <c r="AI989" s="2">
        <v>45291</v>
      </c>
      <c r="AJ989" s="2">
        <v>44987</v>
      </c>
    </row>
    <row r="990" spans="1:36">
      <c r="A990" s="1" t="str">
        <f>"968524228A"</f>
        <v>968524228A</v>
      </c>
      <c r="B990" s="1" t="str">
        <f t="shared" si="27"/>
        <v>02406911202</v>
      </c>
      <c r="C990" s="1" t="s">
        <v>13</v>
      </c>
      <c r="D990" s="1" t="s">
        <v>37</v>
      </c>
      <c r="E990" s="1" t="s">
        <v>2172</v>
      </c>
      <c r="F990" s="1" t="s">
        <v>117</v>
      </c>
      <c r="G990" s="1" t="str">
        <f>"01260981004"</f>
        <v>01260981004</v>
      </c>
      <c r="I990" s="1" t="s">
        <v>2044</v>
      </c>
      <c r="L990" s="1" t="s">
        <v>44</v>
      </c>
      <c r="M990" s="1" t="s">
        <v>2173</v>
      </c>
      <c r="AG990" s="1" t="s">
        <v>2174</v>
      </c>
      <c r="AH990" s="2">
        <v>44987</v>
      </c>
      <c r="AI990" s="2">
        <v>45626</v>
      </c>
      <c r="AJ990" s="2">
        <v>44987</v>
      </c>
    </row>
    <row r="991" spans="1:36">
      <c r="A991" s="1" t="str">
        <f>"968534143C"</f>
        <v>968534143C</v>
      </c>
      <c r="B991" s="1" t="str">
        <f t="shared" si="27"/>
        <v>02406911202</v>
      </c>
      <c r="C991" s="1" t="s">
        <v>13</v>
      </c>
      <c r="D991" s="1" t="s">
        <v>37</v>
      </c>
      <c r="E991" s="1" t="s">
        <v>2175</v>
      </c>
      <c r="F991" s="1" t="s">
        <v>117</v>
      </c>
      <c r="G991" s="1" t="str">
        <f>"10618220965"</f>
        <v>10618220965</v>
      </c>
      <c r="I991" s="1" t="s">
        <v>2176</v>
      </c>
      <c r="L991" s="1" t="s">
        <v>44</v>
      </c>
      <c r="M991" s="1" t="s">
        <v>2177</v>
      </c>
      <c r="AG991" s="1" t="s">
        <v>2178</v>
      </c>
      <c r="AH991" s="2">
        <v>44987</v>
      </c>
      <c r="AI991" s="2">
        <v>45626</v>
      </c>
      <c r="AJ991" s="2">
        <v>44987</v>
      </c>
    </row>
    <row r="992" spans="1:36">
      <c r="A992" s="1" t="str">
        <f>"ZB039A3677"</f>
        <v>ZB039A3677</v>
      </c>
      <c r="B992" s="1" t="str">
        <f t="shared" si="27"/>
        <v>02406911202</v>
      </c>
      <c r="C992" s="1" t="s">
        <v>13</v>
      </c>
      <c r="D992" s="1" t="s">
        <v>1257</v>
      </c>
      <c r="E992" s="1" t="s">
        <v>2179</v>
      </c>
      <c r="F992" s="1" t="s">
        <v>49</v>
      </c>
      <c r="G992" s="1" t="str">
        <f>"05266200483"</f>
        <v>05266200483</v>
      </c>
      <c r="I992" s="1" t="s">
        <v>2180</v>
      </c>
      <c r="L992" s="1" t="s">
        <v>44</v>
      </c>
      <c r="M992" s="1" t="s">
        <v>946</v>
      </c>
      <c r="AG992" s="1" t="s">
        <v>2181</v>
      </c>
      <c r="AH992" s="2">
        <v>44950</v>
      </c>
      <c r="AI992" s="2">
        <v>45291</v>
      </c>
      <c r="AJ992" s="2">
        <v>44950</v>
      </c>
    </row>
    <row r="993" spans="1:36">
      <c r="A993" s="1" t="str">
        <f>"Z1D39AAABD"</f>
        <v>Z1D39AAABD</v>
      </c>
      <c r="B993" s="1" t="str">
        <f t="shared" si="27"/>
        <v>02406911202</v>
      </c>
      <c r="C993" s="1" t="s">
        <v>13</v>
      </c>
      <c r="D993" s="1" t="s">
        <v>1253</v>
      </c>
      <c r="E993" s="1" t="s">
        <v>1254</v>
      </c>
      <c r="F993" s="1" t="s">
        <v>49</v>
      </c>
      <c r="G993" s="1" t="str">
        <f>"01736720994"</f>
        <v>01736720994</v>
      </c>
      <c r="I993" s="1" t="s">
        <v>80</v>
      </c>
      <c r="L993" s="1" t="s">
        <v>44</v>
      </c>
      <c r="M993" s="1" t="s">
        <v>1255</v>
      </c>
      <c r="AG993" s="1" t="s">
        <v>2182</v>
      </c>
      <c r="AH993" s="2">
        <v>44952</v>
      </c>
      <c r="AI993" s="2">
        <v>45291</v>
      </c>
      <c r="AJ993" s="2">
        <v>44952</v>
      </c>
    </row>
    <row r="994" spans="1:36">
      <c r="A994" s="1" t="str">
        <f>"9606229EEF"</f>
        <v>9606229EEF</v>
      </c>
      <c r="B994" s="1" t="str">
        <f t="shared" si="27"/>
        <v>02406911202</v>
      </c>
      <c r="C994" s="1" t="s">
        <v>13</v>
      </c>
      <c r="D994" s="1" t="s">
        <v>1312</v>
      </c>
      <c r="E994" s="1" t="s">
        <v>2183</v>
      </c>
      <c r="F994" s="1" t="s">
        <v>49</v>
      </c>
      <c r="G994" s="1" t="str">
        <f>"10824080963"</f>
        <v>10824080963</v>
      </c>
      <c r="I994" s="1" t="s">
        <v>2184</v>
      </c>
      <c r="L994" s="1" t="s">
        <v>44</v>
      </c>
      <c r="M994" s="1" t="s">
        <v>2185</v>
      </c>
      <c r="AG994" s="1" t="s">
        <v>2186</v>
      </c>
      <c r="AH994" s="2">
        <v>44950</v>
      </c>
      <c r="AI994" s="2">
        <v>45688</v>
      </c>
      <c r="AJ994" s="2">
        <v>44950</v>
      </c>
    </row>
    <row r="995" spans="1:36">
      <c r="A995" s="1" t="str">
        <f>"Z7E39AAB64"</f>
        <v>Z7E39AAB64</v>
      </c>
      <c r="B995" s="1" t="str">
        <f t="shared" si="27"/>
        <v>02406911202</v>
      </c>
      <c r="C995" s="1" t="s">
        <v>13</v>
      </c>
      <c r="D995" s="1" t="s">
        <v>1253</v>
      </c>
      <c r="E995" s="1" t="s">
        <v>1387</v>
      </c>
      <c r="F995" s="1" t="s">
        <v>49</v>
      </c>
      <c r="G995" s="1" t="str">
        <f>"02774840595"</f>
        <v>02774840595</v>
      </c>
      <c r="I995" s="1" t="s">
        <v>2095</v>
      </c>
      <c r="L995" s="1" t="s">
        <v>44</v>
      </c>
      <c r="M995" s="1" t="s">
        <v>1255</v>
      </c>
      <c r="AG995" s="1" t="s">
        <v>2187</v>
      </c>
      <c r="AH995" s="2">
        <v>44952</v>
      </c>
      <c r="AI995" s="2">
        <v>45291</v>
      </c>
      <c r="AJ995" s="2">
        <v>44952</v>
      </c>
    </row>
    <row r="996" spans="1:36">
      <c r="A996" s="1" t="str">
        <f>"Z433945A62"</f>
        <v>Z433945A62</v>
      </c>
      <c r="B996" s="1" t="str">
        <f t="shared" si="27"/>
        <v>02406911202</v>
      </c>
      <c r="C996" s="1" t="s">
        <v>13</v>
      </c>
      <c r="D996" s="1" t="s">
        <v>1741</v>
      </c>
      <c r="E996" s="1" t="s">
        <v>2188</v>
      </c>
      <c r="F996" s="1" t="s">
        <v>39</v>
      </c>
      <c r="G996" s="1" t="str">
        <f>"04222630370"</f>
        <v>04222630370</v>
      </c>
      <c r="I996" s="1" t="s">
        <v>2189</v>
      </c>
      <c r="L996" s="1" t="s">
        <v>44</v>
      </c>
      <c r="M996" s="1" t="s">
        <v>2190</v>
      </c>
      <c r="AG996" s="1" t="s">
        <v>2191</v>
      </c>
      <c r="AH996" s="2">
        <v>44927</v>
      </c>
      <c r="AI996" s="2">
        <v>45291</v>
      </c>
      <c r="AJ996" s="2">
        <v>44927</v>
      </c>
    </row>
    <row r="997" spans="1:36">
      <c r="A997" s="1" t="str">
        <f>"ZAD39AE915"</f>
        <v>ZAD39AE915</v>
      </c>
      <c r="B997" s="1" t="str">
        <f t="shared" si="27"/>
        <v>02406911202</v>
      </c>
      <c r="C997" s="1" t="s">
        <v>13</v>
      </c>
      <c r="D997" s="1" t="s">
        <v>1257</v>
      </c>
      <c r="E997" s="1" t="s">
        <v>2192</v>
      </c>
      <c r="F997" s="1" t="s">
        <v>49</v>
      </c>
      <c r="G997" s="1" t="str">
        <f>"12906300152"</f>
        <v>12906300152</v>
      </c>
      <c r="I997" s="1" t="s">
        <v>2193</v>
      </c>
      <c r="L997" s="1" t="s">
        <v>44</v>
      </c>
      <c r="M997" s="1" t="s">
        <v>153</v>
      </c>
      <c r="AG997" s="1" t="s">
        <v>2194</v>
      </c>
      <c r="AH997" s="2">
        <v>44927</v>
      </c>
      <c r="AI997" s="2">
        <v>45291</v>
      </c>
      <c r="AJ997" s="2">
        <v>44927</v>
      </c>
    </row>
    <row r="998" spans="1:36">
      <c r="A998" s="1" t="str">
        <f>"Z0439B0220"</f>
        <v>Z0439B0220</v>
      </c>
      <c r="B998" s="1" t="str">
        <f t="shared" si="27"/>
        <v>02406911202</v>
      </c>
      <c r="C998" s="1" t="s">
        <v>13</v>
      </c>
      <c r="D998" s="1" t="s">
        <v>1253</v>
      </c>
      <c r="E998" s="1" t="s">
        <v>1270</v>
      </c>
      <c r="F998" s="1" t="s">
        <v>49</v>
      </c>
      <c r="G998" s="1" t="str">
        <f>"02705540165"</f>
        <v>02705540165</v>
      </c>
      <c r="I998" s="1" t="s">
        <v>1268</v>
      </c>
      <c r="L998" s="1" t="s">
        <v>44</v>
      </c>
      <c r="M998" s="1" t="s">
        <v>1255</v>
      </c>
      <c r="AG998" s="1" t="s">
        <v>2195</v>
      </c>
      <c r="AH998" s="2">
        <v>44952</v>
      </c>
      <c r="AI998" s="2">
        <v>45291</v>
      </c>
      <c r="AJ998" s="2">
        <v>44952</v>
      </c>
    </row>
    <row r="999" spans="1:36">
      <c r="A999" s="1" t="str">
        <f>"9534332BA8"</f>
        <v>9534332BA8</v>
      </c>
      <c r="B999" s="1" t="str">
        <f t="shared" si="27"/>
        <v>02406911202</v>
      </c>
      <c r="C999" s="1" t="s">
        <v>13</v>
      </c>
      <c r="D999" s="1" t="s">
        <v>37</v>
      </c>
      <c r="E999" s="1" t="s">
        <v>2196</v>
      </c>
      <c r="F999" s="1" t="s">
        <v>39</v>
      </c>
      <c r="G999" s="1" t="str">
        <f>"02503150373"</f>
        <v>02503150373</v>
      </c>
      <c r="I999" s="1" t="s">
        <v>2197</v>
      </c>
      <c r="L999" s="1" t="s">
        <v>44</v>
      </c>
      <c r="M999" s="1" t="s">
        <v>2198</v>
      </c>
      <c r="AG999" s="1" t="s">
        <v>124</v>
      </c>
      <c r="AH999" s="2">
        <v>44951</v>
      </c>
      <c r="AI999" s="2">
        <v>45291</v>
      </c>
      <c r="AJ999" s="2">
        <v>44951</v>
      </c>
    </row>
    <row r="1000" spans="1:36">
      <c r="A1000" s="1" t="str">
        <f>"961149261C"</f>
        <v>961149261C</v>
      </c>
      <c r="B1000" s="1" t="str">
        <f t="shared" si="27"/>
        <v>02406911202</v>
      </c>
      <c r="C1000" s="1" t="s">
        <v>13</v>
      </c>
      <c r="D1000" s="1" t="s">
        <v>37</v>
      </c>
      <c r="E1000" s="1" t="s">
        <v>2199</v>
      </c>
      <c r="F1000" s="1" t="s">
        <v>117</v>
      </c>
      <c r="G1000" s="1" t="str">
        <f>"00880701008"</f>
        <v>00880701008</v>
      </c>
      <c r="I1000" s="1" t="s">
        <v>2200</v>
      </c>
      <c r="L1000" s="1" t="s">
        <v>44</v>
      </c>
      <c r="M1000" s="1" t="s">
        <v>2201</v>
      </c>
      <c r="AG1000" s="1" t="s">
        <v>2202</v>
      </c>
      <c r="AH1000" s="2">
        <v>44943</v>
      </c>
      <c r="AI1000" s="2">
        <v>46022</v>
      </c>
      <c r="AJ1000" s="2">
        <v>44943</v>
      </c>
    </row>
    <row r="1001" spans="1:36">
      <c r="A1001" s="1" t="str">
        <f>"Z1939B883A"</f>
        <v>Z1939B883A</v>
      </c>
      <c r="B1001" s="1" t="str">
        <f t="shared" si="27"/>
        <v>02406911202</v>
      </c>
      <c r="C1001" s="1" t="s">
        <v>13</v>
      </c>
      <c r="D1001" s="1" t="s">
        <v>37</v>
      </c>
      <c r="E1001" s="1" t="s">
        <v>2203</v>
      </c>
      <c r="F1001" s="1" t="s">
        <v>117</v>
      </c>
      <c r="G1001" s="1" t="str">
        <f>"11116290153"</f>
        <v>11116290153</v>
      </c>
      <c r="I1001" s="1" t="s">
        <v>2204</v>
      </c>
      <c r="L1001" s="1" t="s">
        <v>44</v>
      </c>
      <c r="M1001" s="1" t="s">
        <v>2205</v>
      </c>
      <c r="AG1001" s="1" t="s">
        <v>2147</v>
      </c>
      <c r="AH1001" s="2">
        <v>44943</v>
      </c>
      <c r="AI1001" s="2">
        <v>46022</v>
      </c>
      <c r="AJ1001" s="2">
        <v>44943</v>
      </c>
    </row>
    <row r="1002" spans="1:36">
      <c r="A1002" s="1" t="str">
        <f>"Z553A11664"</f>
        <v>Z553A11664</v>
      </c>
      <c r="B1002" s="1" t="str">
        <f t="shared" si="27"/>
        <v>02406911202</v>
      </c>
      <c r="C1002" s="1" t="s">
        <v>13</v>
      </c>
      <c r="D1002" s="1" t="s">
        <v>37</v>
      </c>
      <c r="E1002" s="1" t="s">
        <v>2206</v>
      </c>
      <c r="F1002" s="1" t="s">
        <v>39</v>
      </c>
      <c r="G1002" s="1" t="str">
        <f>"00623810371"</f>
        <v>00623810371</v>
      </c>
      <c r="I1002" s="1" t="s">
        <v>2207</v>
      </c>
      <c r="L1002" s="1" t="s">
        <v>44</v>
      </c>
      <c r="M1002" s="1" t="s">
        <v>2208</v>
      </c>
      <c r="AG1002" s="1" t="s">
        <v>2209</v>
      </c>
      <c r="AH1002" s="2">
        <v>44981</v>
      </c>
      <c r="AI1002" s="2">
        <v>45138</v>
      </c>
      <c r="AJ1002" s="2">
        <v>44981</v>
      </c>
    </row>
    <row r="1003" spans="1:36">
      <c r="A1003" s="1" t="str">
        <f>"ZCB3A1CA3F"</f>
        <v>ZCB3A1CA3F</v>
      </c>
      <c r="B1003" s="1" t="str">
        <f t="shared" si="27"/>
        <v>02406911202</v>
      </c>
      <c r="C1003" s="1" t="s">
        <v>13</v>
      </c>
      <c r="D1003" s="1" t="s">
        <v>1253</v>
      </c>
      <c r="E1003" s="1" t="s">
        <v>1270</v>
      </c>
      <c r="F1003" s="1" t="s">
        <v>49</v>
      </c>
      <c r="G1003" s="1" t="str">
        <f>"10181220152"</f>
        <v>10181220152</v>
      </c>
      <c r="I1003" s="1" t="s">
        <v>1779</v>
      </c>
      <c r="L1003" s="1" t="s">
        <v>44</v>
      </c>
      <c r="M1003" s="1" t="s">
        <v>1255</v>
      </c>
      <c r="AG1003" s="1" t="s">
        <v>2210</v>
      </c>
      <c r="AH1003" s="2">
        <v>44981</v>
      </c>
      <c r="AI1003" s="2">
        <v>45291</v>
      </c>
      <c r="AJ1003" s="2">
        <v>44981</v>
      </c>
    </row>
    <row r="1004" spans="1:36">
      <c r="A1004" s="1" t="str">
        <f>"ZF73A1EBAD"</f>
        <v>ZF73A1EBAD</v>
      </c>
      <c r="B1004" s="1" t="str">
        <f t="shared" si="27"/>
        <v>02406911202</v>
      </c>
      <c r="C1004" s="1" t="s">
        <v>13</v>
      </c>
      <c r="D1004" s="1" t="s">
        <v>1253</v>
      </c>
      <c r="E1004" s="1" t="s">
        <v>1270</v>
      </c>
      <c r="F1004" s="1" t="s">
        <v>49</v>
      </c>
      <c r="G1004" s="1" t="str">
        <f>"10181220152"</f>
        <v>10181220152</v>
      </c>
      <c r="I1004" s="1" t="s">
        <v>1779</v>
      </c>
      <c r="L1004" s="1" t="s">
        <v>44</v>
      </c>
      <c r="M1004" s="1" t="s">
        <v>1255</v>
      </c>
      <c r="AG1004" s="1" t="s">
        <v>2211</v>
      </c>
      <c r="AH1004" s="2">
        <v>44984</v>
      </c>
      <c r="AI1004" s="2">
        <v>45291</v>
      </c>
      <c r="AJ1004" s="2">
        <v>44984</v>
      </c>
    </row>
    <row r="1005" spans="1:36">
      <c r="A1005" s="1" t="str">
        <f>"Z9F3A1EC78"</f>
        <v>Z9F3A1EC78</v>
      </c>
      <c r="B1005" s="1" t="str">
        <f t="shared" si="27"/>
        <v>02406911202</v>
      </c>
      <c r="C1005" s="1" t="s">
        <v>13</v>
      </c>
      <c r="D1005" s="1" t="s">
        <v>1257</v>
      </c>
      <c r="E1005" s="1" t="s">
        <v>2212</v>
      </c>
      <c r="F1005" s="1" t="s">
        <v>49</v>
      </c>
      <c r="G1005" s="1" t="str">
        <f>"00435080304"</f>
        <v>00435080304</v>
      </c>
      <c r="I1005" s="1" t="s">
        <v>2213</v>
      </c>
      <c r="L1005" s="1" t="s">
        <v>44</v>
      </c>
      <c r="M1005" s="1" t="s">
        <v>946</v>
      </c>
      <c r="AG1005" s="1" t="s">
        <v>2214</v>
      </c>
      <c r="AH1005" s="2">
        <v>44984</v>
      </c>
      <c r="AI1005" s="2">
        <v>45291</v>
      </c>
      <c r="AJ1005" s="2">
        <v>44984</v>
      </c>
    </row>
    <row r="1006" spans="1:36">
      <c r="A1006" s="1" t="str">
        <f>"ZE33A1FCD6"</f>
        <v>ZE33A1FCD6</v>
      </c>
      <c r="B1006" s="1" t="str">
        <f t="shared" si="27"/>
        <v>02406911202</v>
      </c>
      <c r="C1006" s="1" t="s">
        <v>13</v>
      </c>
      <c r="D1006" s="1" t="s">
        <v>205</v>
      </c>
      <c r="E1006" s="1" t="s">
        <v>2215</v>
      </c>
      <c r="F1006" s="1" t="s">
        <v>49</v>
      </c>
      <c r="G1006" s="1" t="str">
        <f>"09180311004"</f>
        <v>09180311004</v>
      </c>
      <c r="I1006" s="1" t="s">
        <v>2216</v>
      </c>
      <c r="L1006" s="1" t="s">
        <v>44</v>
      </c>
      <c r="M1006" s="1" t="s">
        <v>1625</v>
      </c>
      <c r="AG1006" s="1" t="s">
        <v>2217</v>
      </c>
      <c r="AH1006" s="2">
        <v>44970</v>
      </c>
      <c r="AI1006" s="2">
        <v>45291</v>
      </c>
      <c r="AJ1006" s="2">
        <v>44970</v>
      </c>
    </row>
    <row r="1007" spans="1:36">
      <c r="A1007" s="1" t="str">
        <f>"Z3D39A39C9"</f>
        <v>Z3D39A39C9</v>
      </c>
      <c r="B1007" s="1" t="str">
        <f t="shared" si="27"/>
        <v>02406911202</v>
      </c>
      <c r="C1007" s="1" t="s">
        <v>13</v>
      </c>
      <c r="D1007" s="1" t="s">
        <v>1253</v>
      </c>
      <c r="E1007" s="1" t="s">
        <v>1260</v>
      </c>
      <c r="F1007" s="1" t="s">
        <v>49</v>
      </c>
      <c r="G1007" s="1" t="str">
        <f>"01975020130"</f>
        <v>01975020130</v>
      </c>
      <c r="I1007" s="1" t="s">
        <v>1737</v>
      </c>
      <c r="L1007" s="1" t="s">
        <v>44</v>
      </c>
      <c r="M1007" s="1" t="s">
        <v>1255</v>
      </c>
      <c r="AG1007" s="1" t="s">
        <v>1738</v>
      </c>
      <c r="AH1007" s="2">
        <v>44950</v>
      </c>
      <c r="AI1007" s="2">
        <v>45291</v>
      </c>
      <c r="AJ1007" s="2">
        <v>44950</v>
      </c>
    </row>
    <row r="1008" spans="1:36">
      <c r="A1008" s="1" t="str">
        <f>"Z4839B36C5"</f>
        <v>Z4839B36C5</v>
      </c>
      <c r="B1008" s="1" t="str">
        <f t="shared" si="27"/>
        <v>02406911202</v>
      </c>
      <c r="C1008" s="1" t="s">
        <v>13</v>
      </c>
      <c r="D1008" s="1" t="s">
        <v>1253</v>
      </c>
      <c r="E1008" s="1" t="s">
        <v>1317</v>
      </c>
      <c r="F1008" s="1" t="s">
        <v>49</v>
      </c>
      <c r="G1008" s="1" t="str">
        <f>"02426070120"</f>
        <v>02426070120</v>
      </c>
      <c r="I1008" s="1" t="s">
        <v>2218</v>
      </c>
      <c r="L1008" s="1" t="s">
        <v>44</v>
      </c>
      <c r="M1008" s="1" t="s">
        <v>1255</v>
      </c>
      <c r="AG1008" s="1" t="s">
        <v>1255</v>
      </c>
      <c r="AH1008" s="2">
        <v>44956</v>
      </c>
      <c r="AI1008" s="2">
        <v>45291</v>
      </c>
      <c r="AJ1008" s="2">
        <v>44956</v>
      </c>
    </row>
    <row r="1009" spans="1:36">
      <c r="A1009" s="1" t="str">
        <f>"9626057986"</f>
        <v>9626057986</v>
      </c>
      <c r="B1009" s="1" t="str">
        <f t="shared" si="27"/>
        <v>02406911202</v>
      </c>
      <c r="C1009" s="1" t="s">
        <v>13</v>
      </c>
      <c r="D1009" s="1" t="s">
        <v>37</v>
      </c>
      <c r="E1009" s="1" t="s">
        <v>2219</v>
      </c>
      <c r="F1009" s="1" t="s">
        <v>117</v>
      </c>
      <c r="G1009" s="1" t="str">
        <f>"01286700487"</f>
        <v>01286700487</v>
      </c>
      <c r="I1009" s="1" t="s">
        <v>1572</v>
      </c>
      <c r="L1009" s="1" t="s">
        <v>44</v>
      </c>
      <c r="M1009" s="1" t="s">
        <v>2220</v>
      </c>
      <c r="AG1009" s="1" t="s">
        <v>2221</v>
      </c>
      <c r="AH1009" s="2">
        <v>44943</v>
      </c>
      <c r="AI1009" s="2">
        <v>46022</v>
      </c>
      <c r="AJ1009" s="2">
        <v>44943</v>
      </c>
    </row>
    <row r="1010" spans="1:36">
      <c r="A1010" s="1" t="str">
        <f>"Z3639B797E"</f>
        <v>Z3639B797E</v>
      </c>
      <c r="B1010" s="1" t="str">
        <f t="shared" si="27"/>
        <v>02406911202</v>
      </c>
      <c r="C1010" s="1" t="s">
        <v>13</v>
      </c>
      <c r="D1010" s="1" t="s">
        <v>205</v>
      </c>
      <c r="E1010" s="1" t="s">
        <v>2222</v>
      </c>
      <c r="F1010" s="1" t="s">
        <v>39</v>
      </c>
      <c r="G1010" s="1" t="str">
        <f>"02261871202"</f>
        <v>02261871202</v>
      </c>
      <c r="I1010" s="1" t="s">
        <v>2223</v>
      </c>
      <c r="L1010" s="1" t="s">
        <v>44</v>
      </c>
      <c r="M1010" s="1" t="s">
        <v>2224</v>
      </c>
      <c r="AG1010" s="1" t="s">
        <v>2225</v>
      </c>
      <c r="AH1010" s="2">
        <v>44927</v>
      </c>
      <c r="AI1010" s="2">
        <v>45291</v>
      </c>
      <c r="AJ1010" s="2">
        <v>44927</v>
      </c>
    </row>
    <row r="1011" spans="1:36">
      <c r="A1011" s="1" t="str">
        <f>"Z0C39C333F"</f>
        <v>Z0C39C333F</v>
      </c>
      <c r="B1011" s="1" t="str">
        <f t="shared" si="27"/>
        <v>02406911202</v>
      </c>
      <c r="C1011" s="1" t="s">
        <v>13</v>
      </c>
      <c r="D1011" s="1" t="s">
        <v>1253</v>
      </c>
      <c r="E1011" s="1" t="s">
        <v>1254</v>
      </c>
      <c r="F1011" s="1" t="s">
        <v>49</v>
      </c>
      <c r="G1011" s="1" t="str">
        <f>"01737830230"</f>
        <v>01737830230</v>
      </c>
      <c r="I1011" s="1" t="s">
        <v>1696</v>
      </c>
      <c r="L1011" s="1" t="s">
        <v>44</v>
      </c>
      <c r="M1011" s="1" t="s">
        <v>1255</v>
      </c>
      <c r="AG1011" s="1" t="s">
        <v>2226</v>
      </c>
      <c r="AH1011" s="2">
        <v>44958</v>
      </c>
      <c r="AI1011" s="2">
        <v>45291</v>
      </c>
      <c r="AJ1011" s="2">
        <v>44958</v>
      </c>
    </row>
    <row r="1012" spans="1:36">
      <c r="A1012" s="1" t="str">
        <f>"9618405EE3"</f>
        <v>9618405EE3</v>
      </c>
      <c r="B1012" s="1" t="str">
        <f t="shared" si="27"/>
        <v>02406911202</v>
      </c>
      <c r="C1012" s="1" t="s">
        <v>13</v>
      </c>
      <c r="D1012" s="1" t="s">
        <v>37</v>
      </c>
      <c r="E1012" s="1" t="s">
        <v>2227</v>
      </c>
      <c r="F1012" s="1" t="s">
        <v>117</v>
      </c>
      <c r="G1012" s="1" t="str">
        <f>"01258691003"</f>
        <v>01258691003</v>
      </c>
      <c r="I1012" s="1" t="s">
        <v>2027</v>
      </c>
      <c r="L1012" s="1" t="s">
        <v>44</v>
      </c>
      <c r="M1012" s="1" t="s">
        <v>2228</v>
      </c>
      <c r="AG1012" s="1" t="s">
        <v>2229</v>
      </c>
      <c r="AH1012" s="2">
        <v>44943</v>
      </c>
      <c r="AI1012" s="2">
        <v>46022</v>
      </c>
      <c r="AJ1012" s="2">
        <v>44943</v>
      </c>
    </row>
    <row r="1013" spans="1:36">
      <c r="A1013" s="1" t="str">
        <f>"Z9439D6683"</f>
        <v>Z9439D6683</v>
      </c>
      <c r="B1013" s="1" t="str">
        <f t="shared" si="27"/>
        <v>02406911202</v>
      </c>
      <c r="C1013" s="1" t="s">
        <v>13</v>
      </c>
      <c r="D1013" s="1" t="s">
        <v>1253</v>
      </c>
      <c r="E1013" s="1" t="s">
        <v>1270</v>
      </c>
      <c r="F1013" s="1" t="s">
        <v>49</v>
      </c>
      <c r="G1013" s="1" t="str">
        <f>"08948430965"</f>
        <v>08948430965</v>
      </c>
      <c r="I1013" s="1" t="s">
        <v>2230</v>
      </c>
      <c r="L1013" s="1" t="s">
        <v>44</v>
      </c>
      <c r="M1013" s="1" t="s">
        <v>1255</v>
      </c>
      <c r="AG1013" s="1" t="s">
        <v>2231</v>
      </c>
      <c r="AH1013" s="2">
        <v>44964</v>
      </c>
      <c r="AI1013" s="2">
        <v>45291</v>
      </c>
      <c r="AJ1013" s="2">
        <v>44964</v>
      </c>
    </row>
    <row r="1014" spans="1:36">
      <c r="A1014" s="1" t="str">
        <f>"Z8739D2638"</f>
        <v>Z8739D2638</v>
      </c>
      <c r="B1014" s="1" t="str">
        <f t="shared" si="27"/>
        <v>02406911202</v>
      </c>
      <c r="C1014" s="1" t="s">
        <v>13</v>
      </c>
      <c r="D1014" s="1" t="s">
        <v>37</v>
      </c>
      <c r="E1014" s="1" t="s">
        <v>2232</v>
      </c>
      <c r="F1014" s="1" t="s">
        <v>117</v>
      </c>
      <c r="H1014" s="1" t="str">
        <f>"3243827QH"</f>
        <v>3243827QH</v>
      </c>
      <c r="I1014" s="1" t="s">
        <v>2233</v>
      </c>
      <c r="L1014" s="1" t="s">
        <v>44</v>
      </c>
      <c r="M1014" s="1" t="s">
        <v>2234</v>
      </c>
      <c r="AG1014" s="1" t="s">
        <v>2235</v>
      </c>
      <c r="AH1014" s="2">
        <v>44943</v>
      </c>
      <c r="AI1014" s="2">
        <v>46022</v>
      </c>
      <c r="AJ1014" s="2">
        <v>44943</v>
      </c>
    </row>
    <row r="1015" spans="1:36">
      <c r="A1015" s="1" t="str">
        <f>"964117554C"</f>
        <v>964117554C</v>
      </c>
      <c r="B1015" s="1" t="str">
        <f t="shared" si="27"/>
        <v>02406911202</v>
      </c>
      <c r="C1015" s="1" t="s">
        <v>13</v>
      </c>
      <c r="D1015" s="1" t="s">
        <v>37</v>
      </c>
      <c r="E1015" s="1" t="s">
        <v>2236</v>
      </c>
      <c r="F1015" s="1" t="s">
        <v>117</v>
      </c>
      <c r="G1015" s="1" t="str">
        <f>"00789580966"</f>
        <v>00789580966</v>
      </c>
      <c r="I1015" s="1" t="s">
        <v>2237</v>
      </c>
      <c r="L1015" s="1" t="s">
        <v>44</v>
      </c>
      <c r="M1015" s="1" t="s">
        <v>2238</v>
      </c>
      <c r="AG1015" s="1" t="s">
        <v>2239</v>
      </c>
      <c r="AH1015" s="2">
        <v>44943</v>
      </c>
      <c r="AI1015" s="2">
        <v>46022</v>
      </c>
      <c r="AJ1015" s="2">
        <v>44943</v>
      </c>
    </row>
    <row r="1016" spans="1:36">
      <c r="A1016" s="1" t="str">
        <f>"96412291DD"</f>
        <v>96412291DD</v>
      </c>
      <c r="B1016" s="1" t="str">
        <f t="shared" si="27"/>
        <v>02406911202</v>
      </c>
      <c r="C1016" s="1" t="s">
        <v>13</v>
      </c>
      <c r="D1016" s="1" t="s">
        <v>37</v>
      </c>
      <c r="E1016" s="1" t="s">
        <v>2240</v>
      </c>
      <c r="F1016" s="1" t="s">
        <v>117</v>
      </c>
      <c r="G1016" s="1" t="str">
        <f>"09190500968"</f>
        <v>09190500968</v>
      </c>
      <c r="I1016" s="1" t="s">
        <v>1702</v>
      </c>
      <c r="L1016" s="1" t="s">
        <v>44</v>
      </c>
      <c r="M1016" s="1" t="s">
        <v>2241</v>
      </c>
      <c r="AG1016" s="1" t="s">
        <v>2242</v>
      </c>
      <c r="AH1016" s="2">
        <v>44943</v>
      </c>
      <c r="AI1016" s="2">
        <v>46022</v>
      </c>
      <c r="AJ1016" s="2">
        <v>44943</v>
      </c>
    </row>
    <row r="1017" spans="1:36">
      <c r="A1017" s="1" t="str">
        <f>"96412535AA"</f>
        <v>96412535AA</v>
      </c>
      <c r="B1017" s="1" t="str">
        <f t="shared" si="27"/>
        <v>02406911202</v>
      </c>
      <c r="C1017" s="1" t="s">
        <v>13</v>
      </c>
      <c r="D1017" s="1" t="s">
        <v>37</v>
      </c>
      <c r="E1017" s="1" t="s">
        <v>2243</v>
      </c>
      <c r="F1017" s="1" t="s">
        <v>117</v>
      </c>
      <c r="G1017" s="1" t="str">
        <f>"09600400965"</f>
        <v>09600400965</v>
      </c>
      <c r="I1017" s="1" t="s">
        <v>2244</v>
      </c>
      <c r="L1017" s="1" t="s">
        <v>44</v>
      </c>
      <c r="M1017" s="1" t="s">
        <v>2245</v>
      </c>
      <c r="AG1017" s="1" t="s">
        <v>2246</v>
      </c>
      <c r="AH1017" s="2">
        <v>44943</v>
      </c>
      <c r="AI1017" s="2">
        <v>46022</v>
      </c>
      <c r="AJ1017" s="2">
        <v>44943</v>
      </c>
    </row>
    <row r="1018" spans="1:36">
      <c r="A1018" s="1" t="str">
        <f>"Z943A2B767"</f>
        <v>Z943A2B767</v>
      </c>
      <c r="B1018" s="1" t="str">
        <f t="shared" si="27"/>
        <v>02406911202</v>
      </c>
      <c r="C1018" s="1" t="s">
        <v>13</v>
      </c>
      <c r="D1018" s="1" t="s">
        <v>37</v>
      </c>
      <c r="E1018" s="1" t="s">
        <v>2175</v>
      </c>
      <c r="F1018" s="1" t="s">
        <v>117</v>
      </c>
      <c r="G1018" s="1" t="str">
        <f>"12432150154"</f>
        <v>12432150154</v>
      </c>
      <c r="I1018" s="1" t="s">
        <v>1646</v>
      </c>
      <c r="L1018" s="1" t="s">
        <v>44</v>
      </c>
      <c r="M1018" s="1" t="s">
        <v>2247</v>
      </c>
      <c r="AG1018" s="1" t="s">
        <v>124</v>
      </c>
      <c r="AH1018" s="2">
        <v>44987</v>
      </c>
      <c r="AI1018" s="2">
        <v>45626</v>
      </c>
      <c r="AJ1018" s="2">
        <v>44987</v>
      </c>
    </row>
    <row r="1019" spans="1:36">
      <c r="A1019" s="1" t="str">
        <f>"ZA53A32FAE"</f>
        <v>ZA53A32FAE</v>
      </c>
      <c r="B1019" s="1" t="str">
        <f t="shared" si="27"/>
        <v>02406911202</v>
      </c>
      <c r="C1019" s="1" t="s">
        <v>13</v>
      </c>
      <c r="D1019" s="1" t="s">
        <v>1253</v>
      </c>
      <c r="E1019" s="1" t="s">
        <v>1387</v>
      </c>
      <c r="F1019" s="1" t="s">
        <v>49</v>
      </c>
      <c r="G1019" s="1" t="str">
        <f>"01802940484"</f>
        <v>01802940484</v>
      </c>
      <c r="I1019" s="1" t="s">
        <v>2248</v>
      </c>
      <c r="L1019" s="1" t="s">
        <v>44</v>
      </c>
      <c r="M1019" s="1" t="s">
        <v>153</v>
      </c>
      <c r="AG1019" s="1" t="s">
        <v>2249</v>
      </c>
      <c r="AH1019" s="2">
        <v>44987</v>
      </c>
      <c r="AI1019" s="2">
        <v>45291</v>
      </c>
      <c r="AJ1019" s="2">
        <v>44987</v>
      </c>
    </row>
    <row r="1020" spans="1:36">
      <c r="A1020" s="1" t="str">
        <f>"ZBA3A355B2"</f>
        <v>ZBA3A355B2</v>
      </c>
      <c r="B1020" s="1" t="str">
        <f t="shared" si="27"/>
        <v>02406911202</v>
      </c>
      <c r="C1020" s="1" t="s">
        <v>13</v>
      </c>
      <c r="D1020" s="1" t="s">
        <v>1253</v>
      </c>
      <c r="E1020" s="1" t="s">
        <v>1254</v>
      </c>
      <c r="F1020" s="1" t="s">
        <v>49</v>
      </c>
      <c r="G1020" s="1" t="str">
        <f>"06032681006"</f>
        <v>06032681006</v>
      </c>
      <c r="I1020" s="1" t="s">
        <v>1351</v>
      </c>
      <c r="L1020" s="1" t="s">
        <v>44</v>
      </c>
      <c r="M1020" s="1" t="s">
        <v>1255</v>
      </c>
      <c r="AG1020" s="1" t="s">
        <v>2250</v>
      </c>
      <c r="AH1020" s="2">
        <v>44988</v>
      </c>
      <c r="AI1020" s="2">
        <v>45291</v>
      </c>
      <c r="AJ1020" s="2">
        <v>44988</v>
      </c>
    </row>
    <row r="1021" spans="1:36">
      <c r="A1021" s="1" t="str">
        <f>"Z1D3A3558A"</f>
        <v>Z1D3A3558A</v>
      </c>
      <c r="B1021" s="1" t="str">
        <f t="shared" si="27"/>
        <v>02406911202</v>
      </c>
      <c r="C1021" s="1" t="s">
        <v>13</v>
      </c>
      <c r="D1021" s="1" t="s">
        <v>1253</v>
      </c>
      <c r="E1021" s="1" t="s">
        <v>1254</v>
      </c>
      <c r="F1021" s="1" t="s">
        <v>49</v>
      </c>
      <c r="G1021" s="1" t="str">
        <f>"03091530216"</f>
        <v>03091530216</v>
      </c>
      <c r="I1021" s="1" t="s">
        <v>1601</v>
      </c>
      <c r="L1021" s="1" t="s">
        <v>44</v>
      </c>
      <c r="M1021" s="1" t="s">
        <v>1255</v>
      </c>
      <c r="AG1021" s="1" t="s">
        <v>2251</v>
      </c>
      <c r="AH1021" s="2">
        <v>44988</v>
      </c>
      <c r="AI1021" s="2">
        <v>45291</v>
      </c>
      <c r="AJ1021" s="2">
        <v>44988</v>
      </c>
    </row>
    <row r="1022" spans="1:36">
      <c r="A1022" s="1" t="str">
        <f>"ZA93A35509"</f>
        <v>ZA93A35509</v>
      </c>
      <c r="B1022" s="1" t="str">
        <f t="shared" si="27"/>
        <v>02406911202</v>
      </c>
      <c r="C1022" s="1" t="s">
        <v>13</v>
      </c>
      <c r="D1022" s="1" t="s">
        <v>1253</v>
      </c>
      <c r="E1022" s="1" t="s">
        <v>1254</v>
      </c>
      <c r="F1022" s="1" t="s">
        <v>49</v>
      </c>
      <c r="G1022" s="1" t="str">
        <f>"08082461008"</f>
        <v>08082461008</v>
      </c>
      <c r="I1022" s="1" t="s">
        <v>423</v>
      </c>
      <c r="L1022" s="1" t="s">
        <v>44</v>
      </c>
      <c r="M1022" s="1" t="s">
        <v>1255</v>
      </c>
      <c r="AG1022" s="1" t="s">
        <v>2252</v>
      </c>
      <c r="AH1022" s="2">
        <v>44988</v>
      </c>
      <c r="AI1022" s="2">
        <v>45291</v>
      </c>
      <c r="AJ1022" s="2">
        <v>44988</v>
      </c>
    </row>
    <row r="1023" spans="1:36">
      <c r="A1023" s="1" t="str">
        <f>"9686862B65"</f>
        <v>9686862B65</v>
      </c>
      <c r="B1023" s="1" t="str">
        <f t="shared" si="27"/>
        <v>02406911202</v>
      </c>
      <c r="C1023" s="1" t="s">
        <v>13</v>
      </c>
      <c r="D1023" s="1" t="s">
        <v>37</v>
      </c>
      <c r="E1023" s="1" t="s">
        <v>2253</v>
      </c>
      <c r="F1023" s="1" t="s">
        <v>39</v>
      </c>
      <c r="G1023" s="1" t="str">
        <f>"02606120349"</f>
        <v>02606120349</v>
      </c>
      <c r="I1023" s="1" t="s">
        <v>595</v>
      </c>
      <c r="L1023" s="1" t="s">
        <v>44</v>
      </c>
      <c r="M1023" s="1" t="s">
        <v>597</v>
      </c>
      <c r="AG1023" s="1" t="s">
        <v>2254</v>
      </c>
      <c r="AH1023" s="2">
        <v>44991</v>
      </c>
      <c r="AI1023" s="2">
        <v>45356</v>
      </c>
      <c r="AJ1023" s="2">
        <v>44991</v>
      </c>
    </row>
    <row r="1024" spans="1:36">
      <c r="A1024" s="1" t="str">
        <f>"Z963A36481"</f>
        <v>Z963A36481</v>
      </c>
      <c r="B1024" s="1" t="str">
        <f t="shared" si="27"/>
        <v>02406911202</v>
      </c>
      <c r="C1024" s="1" t="s">
        <v>13</v>
      </c>
      <c r="D1024" s="1" t="s">
        <v>1312</v>
      </c>
      <c r="E1024" s="1" t="s">
        <v>1974</v>
      </c>
      <c r="F1024" s="1" t="s">
        <v>49</v>
      </c>
      <c r="G1024" s="1" t="str">
        <f>"04247720370"</f>
        <v>04247720370</v>
      </c>
      <c r="I1024" s="1" t="s">
        <v>2255</v>
      </c>
      <c r="L1024" s="1" t="s">
        <v>44</v>
      </c>
      <c r="M1024" s="1" t="s">
        <v>2256</v>
      </c>
      <c r="AG1024" s="1" t="s">
        <v>2256</v>
      </c>
      <c r="AH1024" s="2">
        <v>44958</v>
      </c>
      <c r="AI1024" s="2">
        <v>45016</v>
      </c>
      <c r="AJ1024" s="2">
        <v>44958</v>
      </c>
    </row>
    <row r="1025" spans="1:36">
      <c r="A1025" s="1" t="str">
        <f>"9671063DA5"</f>
        <v>9671063DA5</v>
      </c>
      <c r="B1025" s="1" t="str">
        <f t="shared" si="27"/>
        <v>02406911202</v>
      </c>
      <c r="C1025" s="1" t="s">
        <v>13</v>
      </c>
      <c r="D1025" s="1" t="s">
        <v>37</v>
      </c>
      <c r="E1025" s="1" t="s">
        <v>2257</v>
      </c>
      <c r="F1025" s="1" t="s">
        <v>117</v>
      </c>
      <c r="G1025" s="1" t="str">
        <f t="shared" ref="G1025:G1030" si="28">"04051160234"</f>
        <v>04051160234</v>
      </c>
      <c r="I1025" s="1" t="s">
        <v>2165</v>
      </c>
      <c r="L1025" s="1" t="s">
        <v>44</v>
      </c>
      <c r="M1025" s="1" t="s">
        <v>2258</v>
      </c>
      <c r="AG1025" s="1" t="s">
        <v>2259</v>
      </c>
      <c r="AH1025" s="2">
        <v>44988</v>
      </c>
      <c r="AI1025" s="2">
        <v>46013</v>
      </c>
      <c r="AJ1025" s="2">
        <v>44988</v>
      </c>
    </row>
    <row r="1026" spans="1:36">
      <c r="A1026" s="1" t="str">
        <f>"9672654E94"</f>
        <v>9672654E94</v>
      </c>
      <c r="B1026" s="1" t="str">
        <f t="shared" si="27"/>
        <v>02406911202</v>
      </c>
      <c r="C1026" s="1" t="s">
        <v>13</v>
      </c>
      <c r="D1026" s="1" t="s">
        <v>37</v>
      </c>
      <c r="E1026" s="1" t="s">
        <v>2260</v>
      </c>
      <c r="F1026" s="1" t="s">
        <v>117</v>
      </c>
      <c r="G1026" s="1" t="str">
        <f t="shared" si="28"/>
        <v>04051160234</v>
      </c>
      <c r="I1026" s="1" t="s">
        <v>2165</v>
      </c>
      <c r="L1026" s="1" t="s">
        <v>44</v>
      </c>
      <c r="M1026" s="1" t="s">
        <v>2261</v>
      </c>
      <c r="AG1026" s="1" t="s">
        <v>124</v>
      </c>
      <c r="AH1026" s="2">
        <v>44988</v>
      </c>
      <c r="AI1026" s="2">
        <v>46013</v>
      </c>
      <c r="AJ1026" s="2">
        <v>44988</v>
      </c>
    </row>
    <row r="1027" spans="1:36">
      <c r="A1027" s="1" t="str">
        <f>"9672672D6F"</f>
        <v>9672672D6F</v>
      </c>
      <c r="B1027" s="1" t="str">
        <f t="shared" si="27"/>
        <v>02406911202</v>
      </c>
      <c r="C1027" s="1" t="s">
        <v>13</v>
      </c>
      <c r="D1027" s="1" t="s">
        <v>37</v>
      </c>
      <c r="E1027" s="1" t="s">
        <v>2262</v>
      </c>
      <c r="F1027" s="1" t="s">
        <v>117</v>
      </c>
      <c r="G1027" s="1" t="str">
        <f t="shared" si="28"/>
        <v>04051160234</v>
      </c>
      <c r="I1027" s="1" t="s">
        <v>2165</v>
      </c>
      <c r="L1027" s="1" t="s">
        <v>44</v>
      </c>
      <c r="M1027" s="1" t="s">
        <v>2263</v>
      </c>
      <c r="AG1027" s="1" t="s">
        <v>2264</v>
      </c>
      <c r="AH1027" s="2">
        <v>44988</v>
      </c>
      <c r="AI1027" s="2">
        <v>46013</v>
      </c>
      <c r="AJ1027" s="2">
        <v>44988</v>
      </c>
    </row>
    <row r="1028" spans="1:36">
      <c r="A1028" s="1" t="str">
        <f>"9672692DF0"</f>
        <v>9672692DF0</v>
      </c>
      <c r="B1028" s="1" t="str">
        <f t="shared" si="27"/>
        <v>02406911202</v>
      </c>
      <c r="C1028" s="1" t="s">
        <v>13</v>
      </c>
      <c r="D1028" s="1" t="s">
        <v>37</v>
      </c>
      <c r="E1028" s="1" t="s">
        <v>2265</v>
      </c>
      <c r="F1028" s="1" t="s">
        <v>117</v>
      </c>
      <c r="G1028" s="1" t="str">
        <f t="shared" si="28"/>
        <v>04051160234</v>
      </c>
      <c r="I1028" s="1" t="s">
        <v>2165</v>
      </c>
      <c r="L1028" s="1" t="s">
        <v>44</v>
      </c>
      <c r="M1028" s="1" t="s">
        <v>2266</v>
      </c>
      <c r="AG1028" s="1" t="s">
        <v>124</v>
      </c>
      <c r="AH1028" s="2">
        <v>44988</v>
      </c>
      <c r="AI1028" s="2">
        <v>46013</v>
      </c>
      <c r="AJ1028" s="2">
        <v>44988</v>
      </c>
    </row>
    <row r="1029" spans="1:36">
      <c r="A1029" s="1" t="str">
        <f>"96727161C2"</f>
        <v>96727161C2</v>
      </c>
      <c r="B1029" s="1" t="str">
        <f t="shared" si="27"/>
        <v>02406911202</v>
      </c>
      <c r="C1029" s="1" t="s">
        <v>13</v>
      </c>
      <c r="D1029" s="1" t="s">
        <v>37</v>
      </c>
      <c r="E1029" s="1" t="s">
        <v>2267</v>
      </c>
      <c r="F1029" s="1" t="s">
        <v>117</v>
      </c>
      <c r="G1029" s="1" t="str">
        <f t="shared" si="28"/>
        <v>04051160234</v>
      </c>
      <c r="I1029" s="1" t="s">
        <v>2165</v>
      </c>
      <c r="L1029" s="1" t="s">
        <v>44</v>
      </c>
      <c r="M1029" s="1" t="s">
        <v>2268</v>
      </c>
      <c r="AG1029" s="1" t="s">
        <v>518</v>
      </c>
      <c r="AH1029" s="2">
        <v>44988</v>
      </c>
      <c r="AI1029" s="2">
        <v>46013</v>
      </c>
      <c r="AJ1029" s="2">
        <v>44988</v>
      </c>
    </row>
    <row r="1030" spans="1:36">
      <c r="A1030" s="1" t="str">
        <f>"9672767BD5"</f>
        <v>9672767BD5</v>
      </c>
      <c r="B1030" s="1" t="str">
        <f t="shared" ref="B1030:B1093" si="29">"02406911202"</f>
        <v>02406911202</v>
      </c>
      <c r="C1030" s="1" t="s">
        <v>13</v>
      </c>
      <c r="D1030" s="1" t="s">
        <v>37</v>
      </c>
      <c r="E1030" s="1" t="s">
        <v>2269</v>
      </c>
      <c r="F1030" s="1" t="s">
        <v>117</v>
      </c>
      <c r="G1030" s="1" t="str">
        <f t="shared" si="28"/>
        <v>04051160234</v>
      </c>
      <c r="I1030" s="1" t="s">
        <v>2165</v>
      </c>
      <c r="L1030" s="1" t="s">
        <v>44</v>
      </c>
      <c r="M1030" s="1" t="s">
        <v>1438</v>
      </c>
      <c r="AG1030" s="1" t="s">
        <v>124</v>
      </c>
      <c r="AH1030" s="2">
        <v>44988</v>
      </c>
      <c r="AI1030" s="2">
        <v>46013</v>
      </c>
      <c r="AJ1030" s="2">
        <v>44988</v>
      </c>
    </row>
    <row r="1031" spans="1:36">
      <c r="A1031" s="1" t="str">
        <f>"Z32397F262"</f>
        <v>Z32397F262</v>
      </c>
      <c r="B1031" s="1" t="str">
        <f t="shared" si="29"/>
        <v>02406911202</v>
      </c>
      <c r="C1031" s="1" t="s">
        <v>13</v>
      </c>
      <c r="D1031" s="1" t="s">
        <v>1741</v>
      </c>
      <c r="E1031" s="1" t="s">
        <v>2270</v>
      </c>
      <c r="F1031" s="1" t="s">
        <v>39</v>
      </c>
      <c r="G1031" s="1" t="str">
        <f>"02089271205"</f>
        <v>02089271205</v>
      </c>
      <c r="I1031" s="1" t="s">
        <v>2271</v>
      </c>
      <c r="L1031" s="1" t="s">
        <v>44</v>
      </c>
      <c r="M1031" s="1" t="s">
        <v>2272</v>
      </c>
      <c r="AG1031" s="1" t="s">
        <v>944</v>
      </c>
      <c r="AH1031" s="2">
        <v>44927</v>
      </c>
      <c r="AI1031" s="2">
        <v>45291</v>
      </c>
      <c r="AJ1031" s="2">
        <v>44927</v>
      </c>
    </row>
    <row r="1032" spans="1:36">
      <c r="A1032" s="1" t="str">
        <f>"9694115CC2"</f>
        <v>9694115CC2</v>
      </c>
      <c r="B1032" s="1" t="str">
        <f t="shared" si="29"/>
        <v>02406911202</v>
      </c>
      <c r="C1032" s="1" t="s">
        <v>13</v>
      </c>
      <c r="D1032" s="1" t="s">
        <v>205</v>
      </c>
      <c r="E1032" s="1" t="s">
        <v>2273</v>
      </c>
      <c r="F1032" s="1" t="s">
        <v>39</v>
      </c>
      <c r="G1032" s="1" t="str">
        <f>"03905171207"</f>
        <v>03905171207</v>
      </c>
      <c r="I1032" s="1" t="s">
        <v>2274</v>
      </c>
      <c r="L1032" s="1" t="s">
        <v>44</v>
      </c>
      <c r="M1032" s="1" t="s">
        <v>2275</v>
      </c>
      <c r="AG1032" s="1" t="s">
        <v>2276</v>
      </c>
      <c r="AH1032" s="2">
        <v>44958</v>
      </c>
      <c r="AI1032" s="2">
        <v>45291</v>
      </c>
      <c r="AJ1032" s="2">
        <v>44958</v>
      </c>
    </row>
    <row r="1033" spans="1:36">
      <c r="A1033" s="1" t="str">
        <f>"ZB03A397A2"</f>
        <v>ZB03A397A2</v>
      </c>
      <c r="B1033" s="1" t="str">
        <f t="shared" si="29"/>
        <v>02406911202</v>
      </c>
      <c r="C1033" s="1" t="s">
        <v>13</v>
      </c>
      <c r="D1033" s="1" t="s">
        <v>1312</v>
      </c>
      <c r="E1033" s="1" t="s">
        <v>2277</v>
      </c>
      <c r="F1033" s="1" t="s">
        <v>49</v>
      </c>
      <c r="G1033" s="1" t="str">
        <f>"02501461202"</f>
        <v>02501461202</v>
      </c>
      <c r="I1033" s="1" t="s">
        <v>2278</v>
      </c>
      <c r="L1033" s="1" t="s">
        <v>44</v>
      </c>
      <c r="M1033" s="1" t="s">
        <v>1314</v>
      </c>
      <c r="AG1033" s="1" t="s">
        <v>2279</v>
      </c>
      <c r="AH1033" s="2">
        <v>44989</v>
      </c>
      <c r="AI1033" s="2">
        <v>45657</v>
      </c>
      <c r="AJ1033" s="2">
        <v>44989</v>
      </c>
    </row>
    <row r="1034" spans="1:36">
      <c r="A1034" s="1" t="str">
        <f>"ZEB398835A"</f>
        <v>ZEB398835A</v>
      </c>
      <c r="B1034" s="1" t="str">
        <f t="shared" si="29"/>
        <v>02406911202</v>
      </c>
      <c r="C1034" s="1" t="s">
        <v>13</v>
      </c>
      <c r="D1034" s="1" t="s">
        <v>205</v>
      </c>
      <c r="E1034" s="1" t="s">
        <v>2280</v>
      </c>
      <c r="F1034" s="1" t="s">
        <v>49</v>
      </c>
      <c r="G1034" s="1" t="str">
        <f>"10542311005"</f>
        <v>10542311005</v>
      </c>
      <c r="I1034" s="1" t="s">
        <v>2281</v>
      </c>
      <c r="L1034" s="1" t="s">
        <v>44</v>
      </c>
      <c r="M1034" s="1" t="s">
        <v>405</v>
      </c>
      <c r="AG1034" s="1" t="s">
        <v>2282</v>
      </c>
      <c r="AH1034" s="2">
        <v>44943</v>
      </c>
      <c r="AI1034" s="2">
        <v>45291</v>
      </c>
      <c r="AJ1034" s="2">
        <v>44943</v>
      </c>
    </row>
    <row r="1035" spans="1:36">
      <c r="A1035" s="1" t="str">
        <f>"9536722FF1"</f>
        <v>9536722FF1</v>
      </c>
      <c r="B1035" s="1" t="str">
        <f t="shared" si="29"/>
        <v>02406911202</v>
      </c>
      <c r="C1035" s="1" t="s">
        <v>13</v>
      </c>
      <c r="D1035" s="1" t="s">
        <v>205</v>
      </c>
      <c r="E1035" s="1" t="s">
        <v>2283</v>
      </c>
      <c r="F1035" s="1" t="s">
        <v>117</v>
      </c>
      <c r="G1035" s="1" t="str">
        <f>"02690880402"</f>
        <v>02690880402</v>
      </c>
      <c r="I1035" s="1" t="s">
        <v>1809</v>
      </c>
      <c r="L1035" s="1" t="s">
        <v>44</v>
      </c>
      <c r="M1035" s="1" t="s">
        <v>2284</v>
      </c>
      <c r="AG1035" s="1" t="s">
        <v>2285</v>
      </c>
      <c r="AH1035" s="2">
        <v>44927</v>
      </c>
      <c r="AI1035" s="2">
        <v>45291</v>
      </c>
      <c r="AJ1035" s="2">
        <v>44927</v>
      </c>
    </row>
    <row r="1036" spans="1:36">
      <c r="A1036" s="1" t="str">
        <f>"Z403989112"</f>
        <v>Z403989112</v>
      </c>
      <c r="B1036" s="1" t="str">
        <f t="shared" si="29"/>
        <v>02406911202</v>
      </c>
      <c r="C1036" s="1" t="s">
        <v>13</v>
      </c>
      <c r="D1036" s="1" t="s">
        <v>1312</v>
      </c>
      <c r="E1036" s="1" t="s">
        <v>2286</v>
      </c>
      <c r="F1036" s="1" t="s">
        <v>49</v>
      </c>
      <c r="G1036" s="1" t="str">
        <f>"02969620133"</f>
        <v>02969620133</v>
      </c>
      <c r="I1036" s="1" t="s">
        <v>2287</v>
      </c>
      <c r="L1036" s="1" t="s">
        <v>44</v>
      </c>
      <c r="M1036" s="1" t="s">
        <v>1314</v>
      </c>
      <c r="AG1036" s="1" t="s">
        <v>1256</v>
      </c>
      <c r="AH1036" s="2">
        <v>44943</v>
      </c>
      <c r="AI1036" s="2">
        <v>45291</v>
      </c>
      <c r="AJ1036" s="2">
        <v>44943</v>
      </c>
    </row>
    <row r="1037" spans="1:36">
      <c r="A1037" s="1" t="str">
        <f>"Z2E3988E2E"</f>
        <v>Z2E3988E2E</v>
      </c>
      <c r="B1037" s="1" t="str">
        <f t="shared" si="29"/>
        <v>02406911202</v>
      </c>
      <c r="C1037" s="1" t="s">
        <v>13</v>
      </c>
      <c r="D1037" s="1" t="s">
        <v>1253</v>
      </c>
      <c r="E1037" s="1" t="s">
        <v>1254</v>
      </c>
      <c r="F1037" s="1" t="s">
        <v>49</v>
      </c>
      <c r="G1037" s="1" t="str">
        <f>"00474010345"</f>
        <v>00474010345</v>
      </c>
      <c r="I1037" s="1" t="s">
        <v>814</v>
      </c>
      <c r="L1037" s="1" t="s">
        <v>44</v>
      </c>
      <c r="M1037" s="1" t="s">
        <v>1255</v>
      </c>
      <c r="AG1037" s="1" t="s">
        <v>2288</v>
      </c>
      <c r="AH1037" s="2">
        <v>44943</v>
      </c>
      <c r="AI1037" s="2">
        <v>45291</v>
      </c>
      <c r="AJ1037" s="2">
        <v>44943</v>
      </c>
    </row>
    <row r="1038" spans="1:36">
      <c r="A1038" s="1" t="str">
        <f>"Z2A398900B"</f>
        <v>Z2A398900B</v>
      </c>
      <c r="B1038" s="1" t="str">
        <f t="shared" si="29"/>
        <v>02406911202</v>
      </c>
      <c r="C1038" s="1" t="s">
        <v>13</v>
      </c>
      <c r="D1038" s="1" t="s">
        <v>1253</v>
      </c>
      <c r="E1038" s="1" t="s">
        <v>1260</v>
      </c>
      <c r="F1038" s="1" t="s">
        <v>49</v>
      </c>
      <c r="G1038" s="1" t="str">
        <f>"02803471206"</f>
        <v>02803471206</v>
      </c>
      <c r="I1038" s="1" t="s">
        <v>1638</v>
      </c>
      <c r="L1038" s="1" t="s">
        <v>44</v>
      </c>
      <c r="M1038" s="1" t="s">
        <v>1255</v>
      </c>
      <c r="AG1038" s="1" t="s">
        <v>2289</v>
      </c>
      <c r="AH1038" s="2">
        <v>44943</v>
      </c>
      <c r="AI1038" s="2">
        <v>45291</v>
      </c>
      <c r="AJ1038" s="2">
        <v>44943</v>
      </c>
    </row>
    <row r="1039" spans="1:36">
      <c r="A1039" s="1" t="str">
        <f>"ZEB3989405"</f>
        <v>ZEB3989405</v>
      </c>
      <c r="B1039" s="1" t="str">
        <f t="shared" si="29"/>
        <v>02406911202</v>
      </c>
      <c r="C1039" s="1" t="s">
        <v>13</v>
      </c>
      <c r="D1039" s="1" t="s">
        <v>1312</v>
      </c>
      <c r="E1039" s="1" t="s">
        <v>2290</v>
      </c>
      <c r="F1039" s="1" t="s">
        <v>49</v>
      </c>
      <c r="G1039" s="1" t="str">
        <f>"01620830347"</f>
        <v>01620830347</v>
      </c>
      <c r="I1039" s="1" t="s">
        <v>2149</v>
      </c>
      <c r="L1039" s="1" t="s">
        <v>44</v>
      </c>
      <c r="M1039" s="1" t="s">
        <v>1314</v>
      </c>
      <c r="AG1039" s="1" t="s">
        <v>2291</v>
      </c>
      <c r="AH1039" s="2">
        <v>44943</v>
      </c>
      <c r="AI1039" s="2">
        <v>46022</v>
      </c>
      <c r="AJ1039" s="2">
        <v>44943</v>
      </c>
    </row>
    <row r="1040" spans="1:36">
      <c r="A1040" s="1" t="str">
        <f>"96088387F5"</f>
        <v>96088387F5</v>
      </c>
      <c r="B1040" s="1" t="str">
        <f t="shared" si="29"/>
        <v>02406911202</v>
      </c>
      <c r="C1040" s="1" t="s">
        <v>13</v>
      </c>
      <c r="D1040" s="1" t="s">
        <v>37</v>
      </c>
      <c r="E1040" s="1" t="s">
        <v>2292</v>
      </c>
      <c r="F1040" s="1" t="s">
        <v>431</v>
      </c>
      <c r="G1040" s="1" t="str">
        <f>"09058160152"</f>
        <v>09058160152</v>
      </c>
      <c r="I1040" s="1" t="s">
        <v>1357</v>
      </c>
      <c r="L1040" s="1" t="s">
        <v>44</v>
      </c>
      <c r="M1040" s="1" t="s">
        <v>2293</v>
      </c>
      <c r="AG1040" s="1" t="s">
        <v>2294</v>
      </c>
      <c r="AH1040" s="2">
        <v>44947</v>
      </c>
      <c r="AI1040" s="2">
        <v>46407</v>
      </c>
      <c r="AJ1040" s="2">
        <v>44947</v>
      </c>
    </row>
    <row r="1041" spans="1:36">
      <c r="A1041" s="1" t="str">
        <f>"ZF1399C886"</f>
        <v>ZF1399C886</v>
      </c>
      <c r="B1041" s="1" t="str">
        <f t="shared" si="29"/>
        <v>02406911202</v>
      </c>
      <c r="C1041" s="1" t="s">
        <v>13</v>
      </c>
      <c r="D1041" s="1" t="s">
        <v>37</v>
      </c>
      <c r="E1041" s="1" t="s">
        <v>2295</v>
      </c>
      <c r="F1041" s="1" t="s">
        <v>117</v>
      </c>
      <c r="G1041" s="1" t="str">
        <f>"03450130285"</f>
        <v>03450130285</v>
      </c>
      <c r="I1041" s="1" t="s">
        <v>2296</v>
      </c>
      <c r="L1041" s="1" t="s">
        <v>44</v>
      </c>
      <c r="M1041" s="1" t="s">
        <v>2297</v>
      </c>
      <c r="AG1041" s="1" t="s">
        <v>124</v>
      </c>
      <c r="AH1041" s="2">
        <v>44927</v>
      </c>
      <c r="AI1041" s="2">
        <v>45016</v>
      </c>
      <c r="AJ1041" s="2">
        <v>44927</v>
      </c>
    </row>
    <row r="1042" spans="1:36">
      <c r="A1042" s="1" t="str">
        <f>"Z66399C94C"</f>
        <v>Z66399C94C</v>
      </c>
      <c r="B1042" s="1" t="str">
        <f t="shared" si="29"/>
        <v>02406911202</v>
      </c>
      <c r="C1042" s="1" t="s">
        <v>13</v>
      </c>
      <c r="D1042" s="1" t="s">
        <v>37</v>
      </c>
      <c r="E1042" s="1" t="s">
        <v>2295</v>
      </c>
      <c r="F1042" s="1" t="s">
        <v>117</v>
      </c>
      <c r="G1042" s="1" t="str">
        <f>"00530130673"</f>
        <v>00530130673</v>
      </c>
      <c r="I1042" s="1" t="s">
        <v>2298</v>
      </c>
      <c r="L1042" s="1" t="s">
        <v>44</v>
      </c>
      <c r="M1042" s="1" t="s">
        <v>2299</v>
      </c>
      <c r="AG1042" s="1" t="s">
        <v>124</v>
      </c>
      <c r="AH1042" s="2">
        <v>44927</v>
      </c>
      <c r="AI1042" s="2">
        <v>45016</v>
      </c>
      <c r="AJ1042" s="2">
        <v>44927</v>
      </c>
    </row>
    <row r="1043" spans="1:36">
      <c r="A1043" s="1" t="str">
        <f>"Z75399CA66"</f>
        <v>Z75399CA66</v>
      </c>
      <c r="B1043" s="1" t="str">
        <f t="shared" si="29"/>
        <v>02406911202</v>
      </c>
      <c r="C1043" s="1" t="s">
        <v>13</v>
      </c>
      <c r="D1043" s="1" t="s">
        <v>37</v>
      </c>
      <c r="E1043" s="1" t="s">
        <v>2295</v>
      </c>
      <c r="F1043" s="1" t="s">
        <v>117</v>
      </c>
      <c r="G1043" s="1" t="str">
        <f>"03350760967"</f>
        <v>03350760967</v>
      </c>
      <c r="I1043" s="1" t="s">
        <v>2300</v>
      </c>
      <c r="L1043" s="1" t="s">
        <v>44</v>
      </c>
      <c r="M1043" s="1" t="s">
        <v>2301</v>
      </c>
      <c r="AG1043" s="1" t="s">
        <v>124</v>
      </c>
      <c r="AH1043" s="2">
        <v>44927</v>
      </c>
      <c r="AI1043" s="2">
        <v>45016</v>
      </c>
      <c r="AJ1043" s="2">
        <v>44927</v>
      </c>
    </row>
    <row r="1044" spans="1:36">
      <c r="A1044" s="1" t="str">
        <f>"ZEE39BAFFD"</f>
        <v>ZEE39BAFFD</v>
      </c>
      <c r="B1044" s="1" t="str">
        <f t="shared" si="29"/>
        <v>02406911202</v>
      </c>
      <c r="C1044" s="1" t="s">
        <v>13</v>
      </c>
      <c r="D1044" s="1" t="s">
        <v>1253</v>
      </c>
      <c r="E1044" s="1" t="s">
        <v>1387</v>
      </c>
      <c r="F1044" s="1" t="s">
        <v>49</v>
      </c>
      <c r="G1044" s="1" t="str">
        <f>"08457170960"</f>
        <v>08457170960</v>
      </c>
      <c r="I1044" s="1" t="s">
        <v>1704</v>
      </c>
      <c r="L1044" s="1" t="s">
        <v>44</v>
      </c>
      <c r="M1044" s="1" t="s">
        <v>1255</v>
      </c>
      <c r="AG1044" s="1" t="s">
        <v>124</v>
      </c>
      <c r="AH1044" s="2">
        <v>44957</v>
      </c>
      <c r="AI1044" s="2">
        <v>45291</v>
      </c>
      <c r="AJ1044" s="2">
        <v>44957</v>
      </c>
    </row>
    <row r="1045" spans="1:36">
      <c r="A1045" s="1" t="str">
        <f>"9606131E10"</f>
        <v>9606131E10</v>
      </c>
      <c r="B1045" s="1" t="str">
        <f t="shared" si="29"/>
        <v>02406911202</v>
      </c>
      <c r="C1045" s="1" t="s">
        <v>13</v>
      </c>
      <c r="D1045" s="1" t="s">
        <v>1312</v>
      </c>
      <c r="E1045" s="1" t="s">
        <v>2302</v>
      </c>
      <c r="F1045" s="1" t="s">
        <v>49</v>
      </c>
      <c r="G1045" s="1" t="str">
        <f>"01177620299"</f>
        <v>01177620299</v>
      </c>
      <c r="I1045" s="1" t="s">
        <v>1609</v>
      </c>
      <c r="L1045" s="1" t="s">
        <v>44</v>
      </c>
      <c r="M1045" s="1" t="s">
        <v>2303</v>
      </c>
      <c r="AG1045" s="1" t="s">
        <v>2304</v>
      </c>
      <c r="AH1045" s="2">
        <v>44957</v>
      </c>
      <c r="AI1045" s="2">
        <v>45291</v>
      </c>
      <c r="AJ1045" s="2">
        <v>44957</v>
      </c>
    </row>
    <row r="1046" spans="1:36">
      <c r="A1046" s="1" t="str">
        <f>"Z1A39F65CA"</f>
        <v>Z1A39F65CA</v>
      </c>
      <c r="B1046" s="1" t="str">
        <f t="shared" si="29"/>
        <v>02406911202</v>
      </c>
      <c r="C1046" s="1" t="s">
        <v>13</v>
      </c>
      <c r="D1046" s="1" t="s">
        <v>205</v>
      </c>
      <c r="E1046" s="1" t="s">
        <v>1686</v>
      </c>
      <c r="F1046" s="1" t="s">
        <v>39</v>
      </c>
      <c r="G1046" s="1" t="str">
        <f>"00608041208"</f>
        <v>00608041208</v>
      </c>
      <c r="I1046" s="1" t="s">
        <v>2305</v>
      </c>
      <c r="L1046" s="1" t="s">
        <v>44</v>
      </c>
      <c r="M1046" s="1" t="s">
        <v>917</v>
      </c>
      <c r="AG1046" s="1" t="s">
        <v>2306</v>
      </c>
      <c r="AH1046" s="2">
        <v>44927</v>
      </c>
      <c r="AI1046" s="2">
        <v>45291</v>
      </c>
      <c r="AJ1046" s="2">
        <v>44927</v>
      </c>
    </row>
    <row r="1047" spans="1:36">
      <c r="A1047" s="1" t="str">
        <f>"Z9D39F65CD"</f>
        <v>Z9D39F65CD</v>
      </c>
      <c r="B1047" s="1" t="str">
        <f t="shared" si="29"/>
        <v>02406911202</v>
      </c>
      <c r="C1047" s="1" t="s">
        <v>13</v>
      </c>
      <c r="D1047" s="1" t="s">
        <v>205</v>
      </c>
      <c r="E1047" s="1" t="s">
        <v>1686</v>
      </c>
      <c r="F1047" s="1" t="s">
        <v>39</v>
      </c>
      <c r="G1047" s="1" t="str">
        <f>"01863341200"</f>
        <v>01863341200</v>
      </c>
      <c r="I1047" s="1" t="s">
        <v>2307</v>
      </c>
      <c r="L1047" s="1" t="s">
        <v>44</v>
      </c>
      <c r="M1047" s="1" t="s">
        <v>917</v>
      </c>
      <c r="AG1047" s="1" t="s">
        <v>124</v>
      </c>
      <c r="AH1047" s="2">
        <v>44927</v>
      </c>
      <c r="AI1047" s="2">
        <v>45291</v>
      </c>
      <c r="AJ1047" s="2">
        <v>44927</v>
      </c>
    </row>
    <row r="1048" spans="1:36">
      <c r="A1048" s="1" t="str">
        <f>"Z963A0E53D"</f>
        <v>Z963A0E53D</v>
      </c>
      <c r="B1048" s="1" t="str">
        <f t="shared" si="29"/>
        <v>02406911202</v>
      </c>
      <c r="C1048" s="1" t="s">
        <v>13</v>
      </c>
      <c r="D1048" s="1" t="s">
        <v>205</v>
      </c>
      <c r="E1048" s="1" t="s">
        <v>1677</v>
      </c>
      <c r="F1048" s="1" t="s">
        <v>39</v>
      </c>
      <c r="G1048" s="1" t="str">
        <f>"00120460399"</f>
        <v>00120460399</v>
      </c>
      <c r="I1048" s="1" t="s">
        <v>2308</v>
      </c>
      <c r="L1048" s="1" t="s">
        <v>44</v>
      </c>
      <c r="M1048" s="1" t="s">
        <v>917</v>
      </c>
      <c r="AG1048" s="1" t="s">
        <v>2309</v>
      </c>
      <c r="AH1048" s="2">
        <v>44927</v>
      </c>
      <c r="AI1048" s="2">
        <v>45291</v>
      </c>
      <c r="AJ1048" s="2">
        <v>44927</v>
      </c>
    </row>
    <row r="1049" spans="1:36">
      <c r="A1049" s="1" t="str">
        <f>"ZF53A0E55A"</f>
        <v>ZF53A0E55A</v>
      </c>
      <c r="B1049" s="1" t="str">
        <f t="shared" si="29"/>
        <v>02406911202</v>
      </c>
      <c r="C1049" s="1" t="s">
        <v>13</v>
      </c>
      <c r="D1049" s="1" t="s">
        <v>205</v>
      </c>
      <c r="E1049" s="1" t="s">
        <v>1686</v>
      </c>
      <c r="F1049" s="1" t="s">
        <v>39</v>
      </c>
      <c r="G1049" s="1" t="str">
        <f>"00485390363"</f>
        <v>00485390363</v>
      </c>
      <c r="I1049" s="1" t="s">
        <v>2310</v>
      </c>
      <c r="L1049" s="1" t="s">
        <v>44</v>
      </c>
      <c r="M1049" s="1" t="s">
        <v>917</v>
      </c>
      <c r="AG1049" s="1" t="s">
        <v>124</v>
      </c>
      <c r="AH1049" s="2">
        <v>44927</v>
      </c>
      <c r="AI1049" s="2">
        <v>45291</v>
      </c>
      <c r="AJ1049" s="2">
        <v>44927</v>
      </c>
    </row>
    <row r="1050" spans="1:36">
      <c r="A1050" s="1" t="str">
        <f>"Z7539F65CE"</f>
        <v>Z7539F65CE</v>
      </c>
      <c r="B1050" s="1" t="str">
        <f t="shared" si="29"/>
        <v>02406911202</v>
      </c>
      <c r="C1050" s="1" t="s">
        <v>13</v>
      </c>
      <c r="D1050" s="1" t="s">
        <v>205</v>
      </c>
      <c r="E1050" s="1" t="s">
        <v>1686</v>
      </c>
      <c r="F1050" s="1" t="s">
        <v>39</v>
      </c>
      <c r="G1050" s="1" t="str">
        <f>"01323860369"</f>
        <v>01323860369</v>
      </c>
      <c r="I1050" s="1" t="s">
        <v>2311</v>
      </c>
      <c r="L1050" s="1" t="s">
        <v>44</v>
      </c>
      <c r="M1050" s="1" t="s">
        <v>917</v>
      </c>
      <c r="AG1050" s="1" t="s">
        <v>2312</v>
      </c>
      <c r="AH1050" s="2">
        <v>44927</v>
      </c>
      <c r="AI1050" s="2">
        <v>45291</v>
      </c>
      <c r="AJ1050" s="2">
        <v>44927</v>
      </c>
    </row>
    <row r="1051" spans="1:36">
      <c r="A1051" s="1" t="str">
        <f>"ZD73A26A5B"</f>
        <v>ZD73A26A5B</v>
      </c>
      <c r="B1051" s="1" t="str">
        <f t="shared" si="29"/>
        <v>02406911202</v>
      </c>
      <c r="C1051" s="1" t="s">
        <v>13</v>
      </c>
      <c r="D1051" s="1" t="s">
        <v>1257</v>
      </c>
      <c r="E1051" s="1" t="s">
        <v>2313</v>
      </c>
      <c r="F1051" s="1" t="s">
        <v>49</v>
      </c>
      <c r="G1051" s="1" t="str">
        <f>"01284691001"</f>
        <v>01284691001</v>
      </c>
      <c r="I1051" s="1" t="s">
        <v>1484</v>
      </c>
      <c r="L1051" s="1" t="s">
        <v>44</v>
      </c>
      <c r="M1051" s="1" t="s">
        <v>946</v>
      </c>
      <c r="AG1051" s="1" t="s">
        <v>2314</v>
      </c>
      <c r="AH1051" s="2">
        <v>44985</v>
      </c>
      <c r="AI1051" s="2">
        <v>45291</v>
      </c>
      <c r="AJ1051" s="2">
        <v>44985</v>
      </c>
    </row>
    <row r="1052" spans="1:36">
      <c r="A1052" s="1" t="str">
        <f>"Z343A2A755"</f>
        <v>Z343A2A755</v>
      </c>
      <c r="B1052" s="1" t="str">
        <f t="shared" si="29"/>
        <v>02406911202</v>
      </c>
      <c r="C1052" s="1" t="s">
        <v>13</v>
      </c>
      <c r="D1052" s="1" t="s">
        <v>1257</v>
      </c>
      <c r="E1052" s="1" t="s">
        <v>2315</v>
      </c>
      <c r="F1052" s="1" t="s">
        <v>49</v>
      </c>
      <c r="G1052" s="1" t="str">
        <f>"06657490154"</f>
        <v>06657490154</v>
      </c>
      <c r="I1052" s="1" t="s">
        <v>2316</v>
      </c>
      <c r="L1052" s="1" t="s">
        <v>44</v>
      </c>
      <c r="M1052" s="1" t="s">
        <v>153</v>
      </c>
      <c r="AG1052" s="1" t="s">
        <v>2317</v>
      </c>
      <c r="AH1052" s="2">
        <v>44986</v>
      </c>
      <c r="AI1052" s="2">
        <v>45291</v>
      </c>
      <c r="AJ1052" s="2">
        <v>44986</v>
      </c>
    </row>
    <row r="1053" spans="1:36">
      <c r="A1053" s="1" t="str">
        <f>"Z4B3A2B26F"</f>
        <v>Z4B3A2B26F</v>
      </c>
      <c r="B1053" s="1" t="str">
        <f t="shared" si="29"/>
        <v>02406911202</v>
      </c>
      <c r="C1053" s="1" t="s">
        <v>13</v>
      </c>
      <c r="D1053" s="1" t="s">
        <v>1253</v>
      </c>
      <c r="E1053" s="1" t="s">
        <v>1260</v>
      </c>
      <c r="F1053" s="1" t="s">
        <v>49</v>
      </c>
      <c r="G1053" s="1" t="str">
        <f>"09270550016"</f>
        <v>09270550016</v>
      </c>
      <c r="I1053" s="1" t="s">
        <v>1328</v>
      </c>
      <c r="L1053" s="1" t="s">
        <v>44</v>
      </c>
      <c r="M1053" s="1" t="s">
        <v>1255</v>
      </c>
      <c r="AG1053" s="1" t="s">
        <v>2318</v>
      </c>
      <c r="AH1053" s="2">
        <v>44986</v>
      </c>
      <c r="AI1053" s="2">
        <v>45291</v>
      </c>
      <c r="AJ1053" s="2">
        <v>44986</v>
      </c>
    </row>
    <row r="1054" spans="1:36">
      <c r="A1054" s="1" t="str">
        <f>"Z173A2B225"</f>
        <v>Z173A2B225</v>
      </c>
      <c r="B1054" s="1" t="str">
        <f t="shared" si="29"/>
        <v>02406911202</v>
      </c>
      <c r="C1054" s="1" t="s">
        <v>13</v>
      </c>
      <c r="D1054" s="1" t="s">
        <v>1253</v>
      </c>
      <c r="E1054" s="1" t="s">
        <v>1260</v>
      </c>
      <c r="F1054" s="1" t="s">
        <v>49</v>
      </c>
      <c r="G1054" s="1" t="str">
        <f>"00495451205"</f>
        <v>00495451205</v>
      </c>
      <c r="I1054" s="1" t="s">
        <v>1320</v>
      </c>
      <c r="L1054" s="1" t="s">
        <v>44</v>
      </c>
      <c r="M1054" s="1" t="s">
        <v>153</v>
      </c>
      <c r="AG1054" s="1" t="s">
        <v>2319</v>
      </c>
      <c r="AH1054" s="2">
        <v>44986</v>
      </c>
      <c r="AI1054" s="2">
        <v>45291</v>
      </c>
      <c r="AJ1054" s="2">
        <v>44986</v>
      </c>
    </row>
    <row r="1055" spans="1:36">
      <c r="A1055" s="1" t="str">
        <f>"ZE63A2B403"</f>
        <v>ZE63A2B403</v>
      </c>
      <c r="B1055" s="1" t="str">
        <f t="shared" si="29"/>
        <v>02406911202</v>
      </c>
      <c r="C1055" s="1" t="s">
        <v>13</v>
      </c>
      <c r="D1055" s="1" t="s">
        <v>1253</v>
      </c>
      <c r="E1055" s="1" t="s">
        <v>1270</v>
      </c>
      <c r="F1055" s="1" t="s">
        <v>49</v>
      </c>
      <c r="G1055" s="1" t="str">
        <f>"06734220962"</f>
        <v>06734220962</v>
      </c>
      <c r="I1055" s="1" t="s">
        <v>2320</v>
      </c>
      <c r="L1055" s="1" t="s">
        <v>44</v>
      </c>
      <c r="M1055" s="1" t="s">
        <v>153</v>
      </c>
      <c r="AG1055" s="1" t="s">
        <v>2321</v>
      </c>
      <c r="AH1055" s="2">
        <v>44986</v>
      </c>
      <c r="AI1055" s="2">
        <v>45291</v>
      </c>
      <c r="AJ1055" s="2">
        <v>44986</v>
      </c>
    </row>
    <row r="1056" spans="1:36">
      <c r="A1056" s="1" t="str">
        <f>"Z923A2B8D3"</f>
        <v>Z923A2B8D3</v>
      </c>
      <c r="B1056" s="1" t="str">
        <f t="shared" si="29"/>
        <v>02406911202</v>
      </c>
      <c r="C1056" s="1" t="s">
        <v>13</v>
      </c>
      <c r="D1056" s="1" t="s">
        <v>1257</v>
      </c>
      <c r="E1056" s="1" t="s">
        <v>2322</v>
      </c>
      <c r="F1056" s="1" t="s">
        <v>49</v>
      </c>
      <c r="G1056" s="1" t="str">
        <f>"03992220966"</f>
        <v>03992220966</v>
      </c>
      <c r="I1056" s="1" t="s">
        <v>84</v>
      </c>
      <c r="L1056" s="1" t="s">
        <v>44</v>
      </c>
      <c r="M1056" s="1" t="s">
        <v>103</v>
      </c>
      <c r="AG1056" s="1" t="s">
        <v>2323</v>
      </c>
      <c r="AH1056" s="2">
        <v>44986</v>
      </c>
      <c r="AI1056" s="2">
        <v>45291</v>
      </c>
      <c r="AJ1056" s="2">
        <v>44986</v>
      </c>
    </row>
    <row r="1057" spans="1:36">
      <c r="A1057" s="1" t="str">
        <f>"Z6C3A2D3D7"</f>
        <v>Z6C3A2D3D7</v>
      </c>
      <c r="B1057" s="1" t="str">
        <f t="shared" si="29"/>
        <v>02406911202</v>
      </c>
      <c r="C1057" s="1" t="s">
        <v>13</v>
      </c>
      <c r="D1057" s="1" t="s">
        <v>1253</v>
      </c>
      <c r="E1057" s="1" t="s">
        <v>1254</v>
      </c>
      <c r="F1057" s="1" t="s">
        <v>49</v>
      </c>
      <c r="G1057" s="1" t="str">
        <f>"01438290536"</f>
        <v>01438290536</v>
      </c>
      <c r="I1057" s="1" t="s">
        <v>2324</v>
      </c>
      <c r="L1057" s="1" t="s">
        <v>44</v>
      </c>
      <c r="M1057" s="1" t="s">
        <v>1255</v>
      </c>
      <c r="AG1057" s="1" t="s">
        <v>2325</v>
      </c>
      <c r="AH1057" s="2">
        <v>44987</v>
      </c>
      <c r="AI1057" s="2">
        <v>45291</v>
      </c>
      <c r="AJ1057" s="2">
        <v>44987</v>
      </c>
    </row>
    <row r="1058" spans="1:36">
      <c r="A1058" s="1" t="str">
        <f>"Z183A2D3C0"</f>
        <v>Z183A2D3C0</v>
      </c>
      <c r="B1058" s="1" t="str">
        <f t="shared" si="29"/>
        <v>02406911202</v>
      </c>
      <c r="C1058" s="1" t="s">
        <v>13</v>
      </c>
      <c r="D1058" s="1" t="s">
        <v>1253</v>
      </c>
      <c r="E1058" s="1" t="s">
        <v>1254</v>
      </c>
      <c r="F1058" s="1" t="s">
        <v>49</v>
      </c>
      <c r="G1058" s="1" t="str">
        <f>"06032681006"</f>
        <v>06032681006</v>
      </c>
      <c r="I1058" s="1" t="s">
        <v>1351</v>
      </c>
      <c r="L1058" s="1" t="s">
        <v>44</v>
      </c>
      <c r="M1058" s="1" t="s">
        <v>1255</v>
      </c>
      <c r="AG1058" s="1" t="s">
        <v>2326</v>
      </c>
      <c r="AH1058" s="2">
        <v>44987</v>
      </c>
      <c r="AI1058" s="2">
        <v>45291</v>
      </c>
      <c r="AJ1058" s="2">
        <v>44987</v>
      </c>
    </row>
    <row r="1059" spans="1:36">
      <c r="A1059" s="1" t="str">
        <f>"ZB03A2D38A"</f>
        <v>ZB03A2D38A</v>
      </c>
      <c r="B1059" s="1" t="str">
        <f t="shared" si="29"/>
        <v>02406911202</v>
      </c>
      <c r="C1059" s="1" t="s">
        <v>13</v>
      </c>
      <c r="D1059" s="1" t="s">
        <v>1253</v>
      </c>
      <c r="E1059" s="1" t="s">
        <v>1254</v>
      </c>
      <c r="F1059" s="1" t="s">
        <v>49</v>
      </c>
      <c r="G1059" s="1" t="str">
        <f>"06032681006"</f>
        <v>06032681006</v>
      </c>
      <c r="I1059" s="1" t="s">
        <v>1351</v>
      </c>
      <c r="L1059" s="1" t="s">
        <v>44</v>
      </c>
      <c r="M1059" s="1" t="s">
        <v>1255</v>
      </c>
      <c r="AG1059" s="1" t="s">
        <v>2327</v>
      </c>
      <c r="AH1059" s="2">
        <v>44987</v>
      </c>
      <c r="AI1059" s="2">
        <v>45291</v>
      </c>
      <c r="AJ1059" s="2">
        <v>44987</v>
      </c>
    </row>
    <row r="1060" spans="1:36">
      <c r="A1060" s="1" t="str">
        <f>"Z643A2D3A5"</f>
        <v>Z643A2D3A5</v>
      </c>
      <c r="B1060" s="1" t="str">
        <f t="shared" si="29"/>
        <v>02406911202</v>
      </c>
      <c r="C1060" s="1" t="s">
        <v>13</v>
      </c>
      <c r="D1060" s="1" t="s">
        <v>1253</v>
      </c>
      <c r="E1060" s="1" t="s">
        <v>1254</v>
      </c>
      <c r="F1060" s="1" t="s">
        <v>49</v>
      </c>
      <c r="G1060" s="1" t="str">
        <f>"06032681006"</f>
        <v>06032681006</v>
      </c>
      <c r="I1060" s="1" t="s">
        <v>1351</v>
      </c>
      <c r="L1060" s="1" t="s">
        <v>44</v>
      </c>
      <c r="M1060" s="1" t="s">
        <v>1255</v>
      </c>
      <c r="AG1060" s="1" t="s">
        <v>2328</v>
      </c>
      <c r="AH1060" s="2">
        <v>44987</v>
      </c>
      <c r="AI1060" s="2">
        <v>45291</v>
      </c>
      <c r="AJ1060" s="2">
        <v>44987</v>
      </c>
    </row>
    <row r="1061" spans="1:36">
      <c r="A1061" s="1" t="str">
        <f>"Z9239947F8"</f>
        <v>Z9239947F8</v>
      </c>
      <c r="B1061" s="1" t="str">
        <f t="shared" si="29"/>
        <v>02406911202</v>
      </c>
      <c r="C1061" s="1" t="s">
        <v>13</v>
      </c>
      <c r="D1061" s="1" t="s">
        <v>1253</v>
      </c>
      <c r="E1061" s="1" t="s">
        <v>1254</v>
      </c>
      <c r="F1061" s="1" t="s">
        <v>49</v>
      </c>
      <c r="G1061" s="1" t="str">
        <f>"00503151201"</f>
        <v>00503151201</v>
      </c>
      <c r="I1061" s="1" t="s">
        <v>2329</v>
      </c>
      <c r="L1061" s="1" t="s">
        <v>44</v>
      </c>
      <c r="M1061" s="1" t="s">
        <v>1255</v>
      </c>
      <c r="AG1061" s="1" t="s">
        <v>2330</v>
      </c>
      <c r="AH1061" s="2">
        <v>44945</v>
      </c>
      <c r="AI1061" s="2">
        <v>45291</v>
      </c>
      <c r="AJ1061" s="2">
        <v>44945</v>
      </c>
    </row>
    <row r="1062" spans="1:36">
      <c r="A1062" s="1" t="str">
        <f>"ZB239949BB"</f>
        <v>ZB239949BB</v>
      </c>
      <c r="B1062" s="1" t="str">
        <f t="shared" si="29"/>
        <v>02406911202</v>
      </c>
      <c r="C1062" s="1" t="s">
        <v>13</v>
      </c>
      <c r="D1062" s="1" t="s">
        <v>1253</v>
      </c>
      <c r="E1062" s="1" t="s">
        <v>1260</v>
      </c>
      <c r="F1062" s="1" t="s">
        <v>49</v>
      </c>
      <c r="G1062" s="1" t="str">
        <f>"02417881204"</f>
        <v>02417881204</v>
      </c>
      <c r="I1062" s="1" t="s">
        <v>1330</v>
      </c>
      <c r="L1062" s="1" t="s">
        <v>44</v>
      </c>
      <c r="M1062" s="1" t="s">
        <v>1255</v>
      </c>
      <c r="AG1062" s="1" t="s">
        <v>2331</v>
      </c>
      <c r="AH1062" s="2">
        <v>44945</v>
      </c>
      <c r="AI1062" s="2">
        <v>45291</v>
      </c>
      <c r="AJ1062" s="2">
        <v>44945</v>
      </c>
    </row>
    <row r="1063" spans="1:36">
      <c r="A1063" s="1" t="str">
        <f>"ZDD39A5E0C"</f>
        <v>ZDD39A5E0C</v>
      </c>
      <c r="B1063" s="1" t="str">
        <f t="shared" si="29"/>
        <v>02406911202</v>
      </c>
      <c r="C1063" s="1" t="s">
        <v>13</v>
      </c>
      <c r="D1063" s="1" t="s">
        <v>1253</v>
      </c>
      <c r="E1063" s="1" t="s">
        <v>1260</v>
      </c>
      <c r="F1063" s="1" t="s">
        <v>49</v>
      </c>
      <c r="G1063" s="1" t="str">
        <f>"12259760150"</f>
        <v>12259760150</v>
      </c>
      <c r="I1063" s="1" t="s">
        <v>1605</v>
      </c>
      <c r="L1063" s="1" t="s">
        <v>44</v>
      </c>
      <c r="M1063" s="1" t="s">
        <v>1255</v>
      </c>
      <c r="AG1063" s="1" t="s">
        <v>2332</v>
      </c>
      <c r="AH1063" s="2">
        <v>44951</v>
      </c>
      <c r="AI1063" s="2">
        <v>45291</v>
      </c>
      <c r="AJ1063" s="2">
        <v>44951</v>
      </c>
    </row>
    <row r="1064" spans="1:36">
      <c r="A1064" s="1" t="str">
        <f>"Z7B39D57EE"</f>
        <v>Z7B39D57EE</v>
      </c>
      <c r="B1064" s="1" t="str">
        <f t="shared" si="29"/>
        <v>02406911202</v>
      </c>
      <c r="C1064" s="1" t="s">
        <v>13</v>
      </c>
      <c r="D1064" s="1" t="s">
        <v>205</v>
      </c>
      <c r="E1064" s="1" t="s">
        <v>2333</v>
      </c>
      <c r="F1064" s="1" t="s">
        <v>49</v>
      </c>
      <c r="G1064" s="1" t="str">
        <f>"12555701007"</f>
        <v>12555701007</v>
      </c>
      <c r="I1064" s="1" t="s">
        <v>2334</v>
      </c>
      <c r="L1064" s="1" t="s">
        <v>44</v>
      </c>
      <c r="M1064" s="1" t="s">
        <v>2335</v>
      </c>
      <c r="AG1064" s="1" t="s">
        <v>2335</v>
      </c>
      <c r="AH1064" s="2">
        <v>44964</v>
      </c>
      <c r="AI1064" s="2">
        <v>45291</v>
      </c>
      <c r="AJ1064" s="2">
        <v>44964</v>
      </c>
    </row>
    <row r="1065" spans="1:36">
      <c r="A1065" s="1" t="str">
        <f>"Z2839D581C"</f>
        <v>Z2839D581C</v>
      </c>
      <c r="B1065" s="1" t="str">
        <f t="shared" si="29"/>
        <v>02406911202</v>
      </c>
      <c r="C1065" s="1" t="s">
        <v>13</v>
      </c>
      <c r="D1065" s="1" t="s">
        <v>205</v>
      </c>
      <c r="E1065" s="1" t="s">
        <v>2336</v>
      </c>
      <c r="F1065" s="1" t="s">
        <v>49</v>
      </c>
      <c r="G1065" s="1" t="str">
        <f>"12555701007"</f>
        <v>12555701007</v>
      </c>
      <c r="I1065" s="1" t="s">
        <v>2334</v>
      </c>
      <c r="L1065" s="1" t="s">
        <v>44</v>
      </c>
      <c r="M1065" s="1" t="s">
        <v>2337</v>
      </c>
      <c r="AG1065" s="1" t="s">
        <v>2337</v>
      </c>
      <c r="AH1065" s="2">
        <v>44964</v>
      </c>
      <c r="AI1065" s="2">
        <v>45291</v>
      </c>
      <c r="AJ1065" s="2">
        <v>44964</v>
      </c>
    </row>
    <row r="1066" spans="1:36">
      <c r="A1066" s="1" t="str">
        <f>"9612218D37"</f>
        <v>9612218D37</v>
      </c>
      <c r="B1066" s="1" t="str">
        <f t="shared" si="29"/>
        <v>02406911202</v>
      </c>
      <c r="C1066" s="1" t="s">
        <v>13</v>
      </c>
      <c r="D1066" s="1" t="s">
        <v>37</v>
      </c>
      <c r="E1066" s="1" t="s">
        <v>2338</v>
      </c>
      <c r="F1066" s="1" t="s">
        <v>117</v>
      </c>
      <c r="G1066" s="1" t="str">
        <f>"00471770016"</f>
        <v>00471770016</v>
      </c>
      <c r="I1066" s="1" t="s">
        <v>2339</v>
      </c>
      <c r="L1066" s="1" t="s">
        <v>44</v>
      </c>
      <c r="M1066" s="1" t="s">
        <v>2340</v>
      </c>
      <c r="AG1066" s="1" t="s">
        <v>2341</v>
      </c>
      <c r="AH1066" s="2">
        <v>44943</v>
      </c>
      <c r="AI1066" s="2">
        <v>46022</v>
      </c>
      <c r="AJ1066" s="2">
        <v>44943</v>
      </c>
    </row>
    <row r="1067" spans="1:36">
      <c r="A1067" s="1" t="str">
        <f>"Z9239D583F"</f>
        <v>Z9239D583F</v>
      </c>
      <c r="B1067" s="1" t="str">
        <f t="shared" si="29"/>
        <v>02406911202</v>
      </c>
      <c r="C1067" s="1" t="s">
        <v>13</v>
      </c>
      <c r="D1067" s="1" t="s">
        <v>205</v>
      </c>
      <c r="E1067" s="1" t="s">
        <v>2342</v>
      </c>
      <c r="F1067" s="1" t="s">
        <v>49</v>
      </c>
      <c r="G1067" s="1" t="str">
        <f>"12555701007"</f>
        <v>12555701007</v>
      </c>
      <c r="I1067" s="1" t="s">
        <v>2334</v>
      </c>
      <c r="L1067" s="1" t="s">
        <v>44</v>
      </c>
      <c r="M1067" s="1" t="s">
        <v>2343</v>
      </c>
      <c r="AG1067" s="1" t="s">
        <v>2343</v>
      </c>
      <c r="AH1067" s="2">
        <v>44964</v>
      </c>
      <c r="AI1067" s="2">
        <v>45291</v>
      </c>
      <c r="AJ1067" s="2">
        <v>44964</v>
      </c>
    </row>
    <row r="1068" spans="1:36">
      <c r="A1068" s="1" t="str">
        <f>"Z3039DA8B4"</f>
        <v>Z3039DA8B4</v>
      </c>
      <c r="B1068" s="1" t="str">
        <f t="shared" si="29"/>
        <v>02406911202</v>
      </c>
      <c r="C1068" s="1" t="s">
        <v>13</v>
      </c>
      <c r="D1068" s="1" t="s">
        <v>1312</v>
      </c>
      <c r="E1068" s="1" t="s">
        <v>2344</v>
      </c>
      <c r="F1068" s="1" t="s">
        <v>49</v>
      </c>
      <c r="G1068" s="1" t="str">
        <f>"03992220966"</f>
        <v>03992220966</v>
      </c>
      <c r="I1068" s="1" t="s">
        <v>84</v>
      </c>
      <c r="L1068" s="1" t="s">
        <v>44</v>
      </c>
      <c r="M1068" s="1" t="s">
        <v>1314</v>
      </c>
      <c r="AG1068" s="1" t="s">
        <v>2345</v>
      </c>
      <c r="AH1068" s="2">
        <v>44964</v>
      </c>
      <c r="AI1068" s="2">
        <v>45016</v>
      </c>
      <c r="AJ1068" s="2">
        <v>44964</v>
      </c>
    </row>
    <row r="1069" spans="1:36">
      <c r="A1069" s="1" t="str">
        <f>"Z3A39C92FC"</f>
        <v>Z3A39C92FC</v>
      </c>
      <c r="B1069" s="1" t="str">
        <f t="shared" si="29"/>
        <v>02406911202</v>
      </c>
      <c r="C1069" s="1" t="s">
        <v>13</v>
      </c>
      <c r="D1069" s="1" t="s">
        <v>205</v>
      </c>
      <c r="E1069" s="1" t="s">
        <v>1677</v>
      </c>
      <c r="F1069" s="1" t="s">
        <v>39</v>
      </c>
      <c r="G1069" s="1" t="str">
        <f>"00160230348"</f>
        <v>00160230348</v>
      </c>
      <c r="I1069" s="1" t="s">
        <v>2346</v>
      </c>
      <c r="L1069" s="1" t="s">
        <v>44</v>
      </c>
      <c r="M1069" s="1" t="s">
        <v>2347</v>
      </c>
      <c r="AG1069" s="1" t="s">
        <v>2348</v>
      </c>
      <c r="AH1069" s="2">
        <v>44927</v>
      </c>
      <c r="AI1069" s="2">
        <v>45291</v>
      </c>
      <c r="AJ1069" s="2">
        <v>44927</v>
      </c>
    </row>
    <row r="1070" spans="1:36">
      <c r="A1070" s="1" t="str">
        <f>"ZAF39C9325"</f>
        <v>ZAF39C9325</v>
      </c>
      <c r="B1070" s="1" t="str">
        <f t="shared" si="29"/>
        <v>02406911202</v>
      </c>
      <c r="C1070" s="1" t="s">
        <v>13</v>
      </c>
      <c r="D1070" s="1" t="s">
        <v>205</v>
      </c>
      <c r="E1070" s="1" t="s">
        <v>1677</v>
      </c>
      <c r="F1070" s="1" t="s">
        <v>39</v>
      </c>
      <c r="G1070" s="1" t="str">
        <f>"00071480396"</f>
        <v>00071480396</v>
      </c>
      <c r="I1070" s="1" t="s">
        <v>2349</v>
      </c>
      <c r="L1070" s="1" t="s">
        <v>44</v>
      </c>
      <c r="M1070" s="1" t="s">
        <v>2350</v>
      </c>
      <c r="AG1070" s="1" t="s">
        <v>2351</v>
      </c>
      <c r="AH1070" s="2">
        <v>44927</v>
      </c>
      <c r="AI1070" s="2">
        <v>45291</v>
      </c>
      <c r="AJ1070" s="2">
        <v>44927</v>
      </c>
    </row>
    <row r="1071" spans="1:36">
      <c r="A1071" s="1" t="str">
        <f>"Z4F39C93BE"</f>
        <v>Z4F39C93BE</v>
      </c>
      <c r="B1071" s="1" t="str">
        <f t="shared" si="29"/>
        <v>02406911202</v>
      </c>
      <c r="C1071" s="1" t="s">
        <v>13</v>
      </c>
      <c r="D1071" s="1" t="s">
        <v>205</v>
      </c>
      <c r="E1071" s="1" t="s">
        <v>1677</v>
      </c>
      <c r="F1071" s="1" t="s">
        <v>39</v>
      </c>
      <c r="G1071" s="1" t="str">
        <f>"00827911207"</f>
        <v>00827911207</v>
      </c>
      <c r="I1071" s="1" t="s">
        <v>2352</v>
      </c>
      <c r="L1071" s="1" t="s">
        <v>44</v>
      </c>
      <c r="M1071" s="1" t="s">
        <v>2353</v>
      </c>
      <c r="AG1071" s="1" t="s">
        <v>2354</v>
      </c>
      <c r="AH1071" s="2">
        <v>44927</v>
      </c>
      <c r="AI1071" s="2">
        <v>45291</v>
      </c>
      <c r="AJ1071" s="2">
        <v>44927</v>
      </c>
    </row>
    <row r="1072" spans="1:36">
      <c r="A1072" s="1" t="str">
        <f>"Z6B39C9568"</f>
        <v>Z6B39C9568</v>
      </c>
      <c r="B1072" s="1" t="str">
        <f t="shared" si="29"/>
        <v>02406911202</v>
      </c>
      <c r="C1072" s="1" t="s">
        <v>13</v>
      </c>
      <c r="D1072" s="1" t="s">
        <v>205</v>
      </c>
      <c r="E1072" s="1" t="s">
        <v>1677</v>
      </c>
      <c r="F1072" s="1" t="s">
        <v>39</v>
      </c>
      <c r="G1072" s="1" t="str">
        <f>"01690800337"</f>
        <v>01690800337</v>
      </c>
      <c r="I1072" s="1" t="s">
        <v>1860</v>
      </c>
      <c r="L1072" s="1" t="s">
        <v>44</v>
      </c>
      <c r="M1072" s="1" t="s">
        <v>2355</v>
      </c>
      <c r="AG1072" s="1" t="s">
        <v>2356</v>
      </c>
      <c r="AH1072" s="2">
        <v>44927</v>
      </c>
      <c r="AI1072" s="2">
        <v>45291</v>
      </c>
      <c r="AJ1072" s="2">
        <v>44927</v>
      </c>
    </row>
    <row r="1073" spans="1:36">
      <c r="A1073" s="1" t="str">
        <f>"Z0B39C9601"</f>
        <v>Z0B39C9601</v>
      </c>
      <c r="B1073" s="1" t="str">
        <f t="shared" si="29"/>
        <v>02406911202</v>
      </c>
      <c r="C1073" s="1" t="s">
        <v>13</v>
      </c>
      <c r="D1073" s="1" t="s">
        <v>205</v>
      </c>
      <c r="E1073" s="1" t="s">
        <v>1677</v>
      </c>
      <c r="F1073" s="1" t="s">
        <v>39</v>
      </c>
      <c r="G1073" s="1" t="str">
        <f>"02422170395"</f>
        <v>02422170395</v>
      </c>
      <c r="I1073" s="1" t="s">
        <v>2357</v>
      </c>
      <c r="L1073" s="1" t="s">
        <v>44</v>
      </c>
      <c r="M1073" s="1" t="s">
        <v>2358</v>
      </c>
      <c r="AG1073" s="1" t="s">
        <v>2359</v>
      </c>
      <c r="AH1073" s="2">
        <v>44927</v>
      </c>
      <c r="AI1073" s="2">
        <v>45291</v>
      </c>
      <c r="AJ1073" s="2">
        <v>44927</v>
      </c>
    </row>
    <row r="1074" spans="1:36">
      <c r="A1074" s="1" t="str">
        <f>"ZC739C96AC"</f>
        <v>ZC739C96AC</v>
      </c>
      <c r="B1074" s="1" t="str">
        <f t="shared" si="29"/>
        <v>02406911202</v>
      </c>
      <c r="C1074" s="1" t="s">
        <v>13</v>
      </c>
      <c r="D1074" s="1" t="s">
        <v>205</v>
      </c>
      <c r="E1074" s="1" t="s">
        <v>1677</v>
      </c>
      <c r="F1074" s="1" t="s">
        <v>39</v>
      </c>
      <c r="G1074" s="1" t="str">
        <f>"02431220348"</f>
        <v>02431220348</v>
      </c>
      <c r="I1074" s="1" t="s">
        <v>2360</v>
      </c>
      <c r="L1074" s="1" t="s">
        <v>44</v>
      </c>
      <c r="M1074" s="1" t="s">
        <v>208</v>
      </c>
      <c r="AG1074" s="1" t="s">
        <v>124</v>
      </c>
      <c r="AH1074" s="2">
        <v>44927</v>
      </c>
      <c r="AI1074" s="2">
        <v>45291</v>
      </c>
      <c r="AJ1074" s="2">
        <v>44927</v>
      </c>
    </row>
    <row r="1075" spans="1:36">
      <c r="A1075" s="1" t="str">
        <f>"ZD53A3AE5A"</f>
        <v>ZD53A3AE5A</v>
      </c>
      <c r="B1075" s="1" t="str">
        <f t="shared" si="29"/>
        <v>02406911202</v>
      </c>
      <c r="C1075" s="1" t="s">
        <v>13</v>
      </c>
      <c r="D1075" s="1" t="s">
        <v>1257</v>
      </c>
      <c r="E1075" s="1" t="s">
        <v>2361</v>
      </c>
      <c r="F1075" s="1" t="s">
        <v>49</v>
      </c>
      <c r="G1075" s="1" t="str">
        <f>"10976940964"</f>
        <v>10976940964</v>
      </c>
      <c r="I1075" s="1" t="s">
        <v>2362</v>
      </c>
      <c r="L1075" s="1" t="s">
        <v>44</v>
      </c>
      <c r="M1075" s="1" t="s">
        <v>946</v>
      </c>
      <c r="AG1075" s="1" t="s">
        <v>2363</v>
      </c>
      <c r="AH1075" s="2">
        <v>44991</v>
      </c>
      <c r="AI1075" s="2">
        <v>45291</v>
      </c>
      <c r="AJ1075" s="2">
        <v>44991</v>
      </c>
    </row>
    <row r="1076" spans="1:36">
      <c r="A1076" s="1" t="str">
        <f>"Z4C3A3D1FB"</f>
        <v>Z4C3A3D1FB</v>
      </c>
      <c r="B1076" s="1" t="str">
        <f t="shared" si="29"/>
        <v>02406911202</v>
      </c>
      <c r="C1076" s="1" t="s">
        <v>13</v>
      </c>
      <c r="D1076" s="1" t="s">
        <v>205</v>
      </c>
      <c r="E1076" s="1" t="s">
        <v>2364</v>
      </c>
      <c r="F1076" s="1" t="s">
        <v>49</v>
      </c>
      <c r="H1076" s="1" t="str">
        <f>"115694943"</f>
        <v>115694943</v>
      </c>
      <c r="I1076" s="1" t="s">
        <v>2365</v>
      </c>
      <c r="L1076" s="1" t="s">
        <v>44</v>
      </c>
      <c r="M1076" s="1" t="s">
        <v>2366</v>
      </c>
      <c r="AG1076" s="1" t="s">
        <v>2366</v>
      </c>
      <c r="AH1076" s="2">
        <v>44927</v>
      </c>
      <c r="AI1076" s="2">
        <v>45291</v>
      </c>
      <c r="AJ1076" s="2">
        <v>44927</v>
      </c>
    </row>
    <row r="1077" spans="1:36">
      <c r="A1077" s="1" t="str">
        <f>"ZAA3A408BB"</f>
        <v>ZAA3A408BB</v>
      </c>
      <c r="B1077" s="1" t="str">
        <f t="shared" si="29"/>
        <v>02406911202</v>
      </c>
      <c r="C1077" s="1" t="s">
        <v>13</v>
      </c>
      <c r="D1077" s="1" t="s">
        <v>1257</v>
      </c>
      <c r="E1077" s="1" t="s">
        <v>2367</v>
      </c>
      <c r="F1077" s="1" t="s">
        <v>49</v>
      </c>
      <c r="G1077" s="1" t="str">
        <f>"07678870630"</f>
        <v>07678870630</v>
      </c>
      <c r="I1077" s="1" t="s">
        <v>2368</v>
      </c>
      <c r="L1077" s="1" t="s">
        <v>44</v>
      </c>
      <c r="M1077" s="1" t="s">
        <v>153</v>
      </c>
      <c r="AG1077" s="1" t="s">
        <v>2369</v>
      </c>
      <c r="AH1077" s="2">
        <v>44992</v>
      </c>
      <c r="AI1077" s="2">
        <v>45291</v>
      </c>
      <c r="AJ1077" s="2">
        <v>44992</v>
      </c>
    </row>
    <row r="1078" spans="1:36">
      <c r="A1078" s="1" t="str">
        <f>"ZC33A42FD3"</f>
        <v>ZC33A42FD3</v>
      </c>
      <c r="B1078" s="1" t="str">
        <f t="shared" si="29"/>
        <v>02406911202</v>
      </c>
      <c r="C1078" s="1" t="s">
        <v>13</v>
      </c>
      <c r="D1078" s="1" t="s">
        <v>1312</v>
      </c>
      <c r="E1078" s="1" t="s">
        <v>1974</v>
      </c>
      <c r="F1078" s="1" t="s">
        <v>49</v>
      </c>
      <c r="G1078" s="1" t="str">
        <f>"01819311208"</f>
        <v>01819311208</v>
      </c>
      <c r="I1078" s="1" t="s">
        <v>2370</v>
      </c>
      <c r="L1078" s="1" t="s">
        <v>44</v>
      </c>
      <c r="M1078" s="1" t="s">
        <v>1641</v>
      </c>
      <c r="AG1078" s="1" t="s">
        <v>124</v>
      </c>
      <c r="AH1078" s="2">
        <v>44986</v>
      </c>
      <c r="AI1078" s="2">
        <v>45016</v>
      </c>
      <c r="AJ1078" s="2">
        <v>44986</v>
      </c>
    </row>
    <row r="1079" spans="1:36">
      <c r="A1079" s="1" t="str">
        <f>"Z1A3A2948F"</f>
        <v>Z1A3A2948F</v>
      </c>
      <c r="B1079" s="1" t="str">
        <f t="shared" si="29"/>
        <v>02406911202</v>
      </c>
      <c r="C1079" s="1" t="s">
        <v>13</v>
      </c>
      <c r="D1079" s="1" t="s">
        <v>1253</v>
      </c>
      <c r="E1079" s="1" t="s">
        <v>1317</v>
      </c>
      <c r="F1079" s="1" t="s">
        <v>49</v>
      </c>
      <c r="G1079" s="1" t="str">
        <f>"07279701002"</f>
        <v>07279701002</v>
      </c>
      <c r="I1079" s="1" t="s">
        <v>96</v>
      </c>
      <c r="L1079" s="1" t="s">
        <v>44</v>
      </c>
      <c r="M1079" s="1" t="s">
        <v>1255</v>
      </c>
      <c r="AG1079" s="1" t="s">
        <v>2371</v>
      </c>
      <c r="AH1079" s="2">
        <v>44992</v>
      </c>
      <c r="AI1079" s="2">
        <v>45291</v>
      </c>
      <c r="AJ1079" s="2">
        <v>44992</v>
      </c>
    </row>
    <row r="1080" spans="1:36">
      <c r="A1080" s="1" t="str">
        <f>"Z623A43DE1"</f>
        <v>Z623A43DE1</v>
      </c>
      <c r="B1080" s="1" t="str">
        <f t="shared" si="29"/>
        <v>02406911202</v>
      </c>
      <c r="C1080" s="1" t="s">
        <v>13</v>
      </c>
      <c r="D1080" s="1" t="s">
        <v>1253</v>
      </c>
      <c r="E1080" s="1" t="s">
        <v>1254</v>
      </c>
      <c r="F1080" s="1" t="s">
        <v>49</v>
      </c>
      <c r="G1080" s="1" t="str">
        <f>"02062120395"</f>
        <v>02062120395</v>
      </c>
      <c r="I1080" s="1" t="s">
        <v>2372</v>
      </c>
      <c r="L1080" s="1" t="s">
        <v>44</v>
      </c>
      <c r="M1080" s="1" t="s">
        <v>1255</v>
      </c>
      <c r="AG1080" s="1" t="s">
        <v>2373</v>
      </c>
      <c r="AH1080" s="2">
        <v>44992</v>
      </c>
      <c r="AI1080" s="2">
        <v>45291</v>
      </c>
      <c r="AJ1080" s="2">
        <v>44992</v>
      </c>
    </row>
    <row r="1081" spans="1:36">
      <c r="A1081" s="1" t="str">
        <f>"9351596D23"</f>
        <v>9351596D23</v>
      </c>
      <c r="B1081" s="1" t="str">
        <f t="shared" si="29"/>
        <v>02406911202</v>
      </c>
      <c r="C1081" s="1" t="s">
        <v>13</v>
      </c>
      <c r="D1081" s="1" t="s">
        <v>37</v>
      </c>
      <c r="E1081" s="1" t="s">
        <v>2374</v>
      </c>
      <c r="F1081" s="1" t="s">
        <v>431</v>
      </c>
      <c r="G1081" s="1" t="str">
        <f>"00856750153"</f>
        <v>00856750153</v>
      </c>
      <c r="I1081" s="1" t="s">
        <v>40</v>
      </c>
      <c r="L1081" s="1" t="s">
        <v>44</v>
      </c>
      <c r="M1081" s="1" t="s">
        <v>2375</v>
      </c>
      <c r="AG1081" s="1" t="s">
        <v>2376</v>
      </c>
      <c r="AH1081" s="2">
        <v>44977</v>
      </c>
      <c r="AI1081" s="2">
        <v>45291</v>
      </c>
      <c r="AJ1081" s="2">
        <v>44977</v>
      </c>
    </row>
    <row r="1082" spans="1:36">
      <c r="A1082" s="1" t="str">
        <f>"Z743989839"</f>
        <v>Z743989839</v>
      </c>
      <c r="B1082" s="1" t="str">
        <f t="shared" si="29"/>
        <v>02406911202</v>
      </c>
      <c r="C1082" s="1" t="s">
        <v>13</v>
      </c>
      <c r="D1082" s="1" t="s">
        <v>1253</v>
      </c>
      <c r="E1082" s="1" t="s">
        <v>1262</v>
      </c>
      <c r="F1082" s="1" t="s">
        <v>49</v>
      </c>
      <c r="G1082" s="1" t="str">
        <f>"02457060032"</f>
        <v>02457060032</v>
      </c>
      <c r="I1082" s="1" t="s">
        <v>1263</v>
      </c>
      <c r="L1082" s="1" t="s">
        <v>44</v>
      </c>
      <c r="M1082" s="1" t="s">
        <v>1255</v>
      </c>
      <c r="AG1082" s="1" t="s">
        <v>2377</v>
      </c>
      <c r="AH1082" s="2">
        <v>44943</v>
      </c>
      <c r="AI1082" s="2">
        <v>45291</v>
      </c>
      <c r="AJ1082" s="2">
        <v>44943</v>
      </c>
    </row>
    <row r="1083" spans="1:36">
      <c r="A1083" s="1" t="str">
        <f>"9611863844"</f>
        <v>9611863844</v>
      </c>
      <c r="B1083" s="1" t="str">
        <f t="shared" si="29"/>
        <v>02406911202</v>
      </c>
      <c r="C1083" s="1" t="s">
        <v>13</v>
      </c>
      <c r="D1083" s="1" t="s">
        <v>37</v>
      </c>
      <c r="E1083" s="1" t="s">
        <v>2378</v>
      </c>
      <c r="F1083" s="1" t="s">
        <v>117</v>
      </c>
      <c r="G1083" s="1" t="str">
        <f>"00737420158"</f>
        <v>00737420158</v>
      </c>
      <c r="I1083" s="1" t="s">
        <v>2379</v>
      </c>
      <c r="L1083" s="1" t="s">
        <v>44</v>
      </c>
      <c r="M1083" s="1" t="s">
        <v>2380</v>
      </c>
      <c r="AG1083" s="1" t="s">
        <v>2381</v>
      </c>
      <c r="AH1083" s="2">
        <v>44943</v>
      </c>
      <c r="AI1083" s="2">
        <v>46022</v>
      </c>
      <c r="AJ1083" s="2">
        <v>44943</v>
      </c>
    </row>
    <row r="1084" spans="1:36">
      <c r="A1084" s="1" t="str">
        <f>"9611850D88"</f>
        <v>9611850D88</v>
      </c>
      <c r="B1084" s="1" t="str">
        <f t="shared" si="29"/>
        <v>02406911202</v>
      </c>
      <c r="C1084" s="1" t="s">
        <v>13</v>
      </c>
      <c r="D1084" s="1" t="s">
        <v>37</v>
      </c>
      <c r="E1084" s="1" t="s">
        <v>2382</v>
      </c>
      <c r="F1084" s="1" t="s">
        <v>117</v>
      </c>
      <c r="G1084" s="1" t="str">
        <f>"01262580507"</f>
        <v>01262580507</v>
      </c>
      <c r="I1084" s="1" t="s">
        <v>2383</v>
      </c>
      <c r="L1084" s="1" t="s">
        <v>44</v>
      </c>
      <c r="M1084" s="1" t="s">
        <v>2384</v>
      </c>
      <c r="AG1084" s="1" t="s">
        <v>2385</v>
      </c>
      <c r="AH1084" s="2">
        <v>44943</v>
      </c>
      <c r="AI1084" s="2">
        <v>46022</v>
      </c>
      <c r="AJ1084" s="2">
        <v>44943</v>
      </c>
    </row>
    <row r="1085" spans="1:36">
      <c r="A1085" s="1" t="str">
        <f>"9614929A68"</f>
        <v>9614929A68</v>
      </c>
      <c r="B1085" s="1" t="str">
        <f t="shared" si="29"/>
        <v>02406911202</v>
      </c>
      <c r="C1085" s="1" t="s">
        <v>13</v>
      </c>
      <c r="D1085" s="1" t="s">
        <v>37</v>
      </c>
      <c r="E1085" s="1" t="s">
        <v>2386</v>
      </c>
      <c r="F1085" s="1" t="s">
        <v>117</v>
      </c>
      <c r="G1085" s="1" t="str">
        <f>"00691781207"</f>
        <v>00691781207</v>
      </c>
      <c r="I1085" s="1" t="s">
        <v>704</v>
      </c>
      <c r="L1085" s="1" t="s">
        <v>44</v>
      </c>
      <c r="M1085" s="1" t="s">
        <v>699</v>
      </c>
      <c r="AG1085" s="1" t="s">
        <v>2387</v>
      </c>
      <c r="AH1085" s="2">
        <v>44958</v>
      </c>
      <c r="AI1085" s="2">
        <v>45322</v>
      </c>
      <c r="AJ1085" s="2">
        <v>44958</v>
      </c>
    </row>
    <row r="1086" spans="1:36">
      <c r="A1086" s="1" t="str">
        <f>"9616073A77"</f>
        <v>9616073A77</v>
      </c>
      <c r="B1086" s="1" t="str">
        <f t="shared" si="29"/>
        <v>02406911202</v>
      </c>
      <c r="C1086" s="1" t="s">
        <v>13</v>
      </c>
      <c r="D1086" s="1" t="s">
        <v>37</v>
      </c>
      <c r="E1086" s="1" t="s">
        <v>2388</v>
      </c>
      <c r="F1086" s="1" t="s">
        <v>117</v>
      </c>
      <c r="G1086" s="1" t="str">
        <f>"06209390969"</f>
        <v>06209390969</v>
      </c>
      <c r="I1086" s="1" t="s">
        <v>725</v>
      </c>
      <c r="L1086" s="1" t="s">
        <v>44</v>
      </c>
      <c r="M1086" s="1" t="s">
        <v>744</v>
      </c>
      <c r="AG1086" s="1" t="s">
        <v>2389</v>
      </c>
      <c r="AH1086" s="2">
        <v>44958</v>
      </c>
      <c r="AI1086" s="2">
        <v>45322</v>
      </c>
      <c r="AJ1086" s="2">
        <v>44958</v>
      </c>
    </row>
    <row r="1087" spans="1:36">
      <c r="A1087" s="1" t="str">
        <f>"Z8139C48FA"</f>
        <v>Z8139C48FA</v>
      </c>
      <c r="B1087" s="1" t="str">
        <f t="shared" si="29"/>
        <v>02406911202</v>
      </c>
      <c r="C1087" s="1" t="s">
        <v>13</v>
      </c>
      <c r="D1087" s="1" t="s">
        <v>1312</v>
      </c>
      <c r="E1087" s="1" t="s">
        <v>1974</v>
      </c>
      <c r="F1087" s="1" t="s">
        <v>49</v>
      </c>
      <c r="G1087" s="1" t="str">
        <f>"03584631208"</f>
        <v>03584631208</v>
      </c>
      <c r="I1087" s="1" t="s">
        <v>2390</v>
      </c>
      <c r="L1087" s="1" t="s">
        <v>44</v>
      </c>
      <c r="M1087" s="1" t="s">
        <v>2391</v>
      </c>
      <c r="AG1087" s="1" t="s">
        <v>2391</v>
      </c>
      <c r="AH1087" s="2">
        <v>44927</v>
      </c>
      <c r="AI1087" s="2">
        <v>44985</v>
      </c>
      <c r="AJ1087" s="2">
        <v>44927</v>
      </c>
    </row>
    <row r="1088" spans="1:36">
      <c r="A1088" s="1" t="str">
        <f>"Z4D39C5860"</f>
        <v>Z4D39C5860</v>
      </c>
      <c r="B1088" s="1" t="str">
        <f t="shared" si="29"/>
        <v>02406911202</v>
      </c>
      <c r="C1088" s="1" t="s">
        <v>13</v>
      </c>
      <c r="D1088" s="1" t="s">
        <v>1312</v>
      </c>
      <c r="E1088" s="1" t="s">
        <v>2392</v>
      </c>
      <c r="F1088" s="1" t="s">
        <v>49</v>
      </c>
      <c r="G1088" s="1" t="str">
        <f>"00919930164"</f>
        <v>00919930164</v>
      </c>
      <c r="I1088" s="1" t="s">
        <v>2393</v>
      </c>
      <c r="L1088" s="1" t="s">
        <v>44</v>
      </c>
      <c r="M1088" s="1" t="s">
        <v>1314</v>
      </c>
      <c r="AG1088" s="1" t="s">
        <v>2394</v>
      </c>
      <c r="AH1088" s="2">
        <v>44959</v>
      </c>
      <c r="AI1088" s="2">
        <v>46022</v>
      </c>
      <c r="AJ1088" s="2">
        <v>44959</v>
      </c>
    </row>
    <row r="1089" spans="1:36">
      <c r="A1089" s="1" t="str">
        <f>"ZA439C293B"</f>
        <v>ZA439C293B</v>
      </c>
      <c r="B1089" s="1" t="str">
        <f t="shared" si="29"/>
        <v>02406911202</v>
      </c>
      <c r="C1089" s="1" t="s">
        <v>13</v>
      </c>
      <c r="D1089" s="1" t="s">
        <v>37</v>
      </c>
      <c r="E1089" s="1" t="s">
        <v>2395</v>
      </c>
      <c r="F1089" s="1" t="s">
        <v>117</v>
      </c>
      <c r="G1089" s="1" t="str">
        <f>"00674840152"</f>
        <v>00674840152</v>
      </c>
      <c r="I1089" s="1" t="s">
        <v>190</v>
      </c>
      <c r="L1089" s="1" t="s">
        <v>44</v>
      </c>
      <c r="M1089" s="1" t="s">
        <v>2396</v>
      </c>
      <c r="AG1089" s="1" t="s">
        <v>2397</v>
      </c>
      <c r="AH1089" s="2">
        <v>44943</v>
      </c>
      <c r="AI1089" s="2">
        <v>46022</v>
      </c>
      <c r="AJ1089" s="2">
        <v>44943</v>
      </c>
    </row>
    <row r="1090" spans="1:36">
      <c r="A1090" s="1" t="str">
        <f>"9620830014"</f>
        <v>9620830014</v>
      </c>
      <c r="B1090" s="1" t="str">
        <f t="shared" si="29"/>
        <v>02406911202</v>
      </c>
      <c r="C1090" s="1" t="s">
        <v>13</v>
      </c>
      <c r="D1090" s="1" t="s">
        <v>1312</v>
      </c>
      <c r="E1090" s="1" t="s">
        <v>2398</v>
      </c>
      <c r="F1090" s="1" t="s">
        <v>49</v>
      </c>
      <c r="G1090" s="1" t="str">
        <f>"02989441205"</f>
        <v>02989441205</v>
      </c>
      <c r="I1090" s="1" t="s">
        <v>2399</v>
      </c>
      <c r="L1090" s="1" t="s">
        <v>44</v>
      </c>
      <c r="M1090" s="1" t="s">
        <v>2400</v>
      </c>
      <c r="AG1090" s="1" t="s">
        <v>2401</v>
      </c>
      <c r="AH1090" s="2">
        <v>44959</v>
      </c>
      <c r="AI1090" s="2">
        <v>45382</v>
      </c>
      <c r="AJ1090" s="2">
        <v>44959</v>
      </c>
    </row>
    <row r="1091" spans="1:36">
      <c r="A1091" s="1" t="str">
        <f>"9625787AB6"</f>
        <v>9625787AB6</v>
      </c>
      <c r="B1091" s="1" t="str">
        <f t="shared" si="29"/>
        <v>02406911202</v>
      </c>
      <c r="C1091" s="1" t="s">
        <v>13</v>
      </c>
      <c r="D1091" s="1" t="s">
        <v>37</v>
      </c>
      <c r="E1091" s="1" t="s">
        <v>2402</v>
      </c>
      <c r="F1091" s="1" t="s">
        <v>117</v>
      </c>
      <c r="G1091" s="1" t="str">
        <f>"02082760261"</f>
        <v>02082760261</v>
      </c>
      <c r="I1091" s="1" t="s">
        <v>2403</v>
      </c>
      <c r="L1091" s="1" t="s">
        <v>44</v>
      </c>
      <c r="M1091" s="1" t="s">
        <v>2404</v>
      </c>
      <c r="AG1091" s="1" t="s">
        <v>2405</v>
      </c>
      <c r="AH1091" s="2">
        <v>44958</v>
      </c>
      <c r="AI1091" s="2">
        <v>45138</v>
      </c>
      <c r="AJ1091" s="2">
        <v>44958</v>
      </c>
    </row>
    <row r="1092" spans="1:36">
      <c r="A1092" s="1" t="str">
        <f>"Z8939C8FC4"</f>
        <v>Z8939C8FC4</v>
      </c>
      <c r="B1092" s="1" t="str">
        <f t="shared" si="29"/>
        <v>02406911202</v>
      </c>
      <c r="C1092" s="1" t="s">
        <v>13</v>
      </c>
      <c r="D1092" s="1" t="s">
        <v>205</v>
      </c>
      <c r="E1092" s="1" t="s">
        <v>1686</v>
      </c>
      <c r="F1092" s="1" t="s">
        <v>39</v>
      </c>
      <c r="G1092" s="1" t="str">
        <f>"00376360400"</f>
        <v>00376360400</v>
      </c>
      <c r="I1092" s="1" t="s">
        <v>2406</v>
      </c>
      <c r="L1092" s="1" t="s">
        <v>44</v>
      </c>
      <c r="M1092" s="1" t="s">
        <v>2407</v>
      </c>
      <c r="AG1092" s="1" t="s">
        <v>2408</v>
      </c>
      <c r="AH1092" s="2">
        <v>44927</v>
      </c>
      <c r="AI1092" s="2">
        <v>45291</v>
      </c>
      <c r="AJ1092" s="2">
        <v>44927</v>
      </c>
    </row>
    <row r="1093" spans="1:36">
      <c r="A1093" s="1" t="str">
        <f>"Z3E39C921A"</f>
        <v>Z3E39C921A</v>
      </c>
      <c r="B1093" s="1" t="str">
        <f t="shared" si="29"/>
        <v>02406911202</v>
      </c>
      <c r="C1093" s="1" t="s">
        <v>13</v>
      </c>
      <c r="D1093" s="1" t="s">
        <v>205</v>
      </c>
      <c r="E1093" s="1" t="s">
        <v>1686</v>
      </c>
      <c r="F1093" s="1" t="s">
        <v>39</v>
      </c>
      <c r="G1093" s="1" t="str">
        <f>"03831150366"</f>
        <v>03831150366</v>
      </c>
      <c r="I1093" s="1" t="s">
        <v>1774</v>
      </c>
      <c r="L1093" s="1" t="s">
        <v>44</v>
      </c>
      <c r="M1093" s="1" t="s">
        <v>2409</v>
      </c>
      <c r="AG1093" s="1" t="s">
        <v>2410</v>
      </c>
      <c r="AH1093" s="2">
        <v>44927</v>
      </c>
      <c r="AI1093" s="2">
        <v>45291</v>
      </c>
      <c r="AJ1093" s="2">
        <v>44927</v>
      </c>
    </row>
    <row r="1094" spans="1:36">
      <c r="A1094" s="1" t="str">
        <f>"935269366B"</f>
        <v>935269366B</v>
      </c>
      <c r="B1094" s="1" t="str">
        <f t="shared" ref="B1094:B1157" si="30">"02406911202"</f>
        <v>02406911202</v>
      </c>
      <c r="C1094" s="1" t="s">
        <v>13</v>
      </c>
      <c r="D1094" s="1" t="s">
        <v>37</v>
      </c>
      <c r="E1094" s="1" t="s">
        <v>2411</v>
      </c>
      <c r="F1094" s="1" t="s">
        <v>39</v>
      </c>
      <c r="G1094" s="1" t="str">
        <f>"09933630155"</f>
        <v>09933630155</v>
      </c>
      <c r="I1094" s="1" t="s">
        <v>2412</v>
      </c>
      <c r="L1094" s="1" t="s">
        <v>44</v>
      </c>
      <c r="M1094" s="1" t="s">
        <v>2413</v>
      </c>
      <c r="AG1094" s="1" t="s">
        <v>2414</v>
      </c>
      <c r="AH1094" s="2">
        <v>44974</v>
      </c>
      <c r="AI1094" s="2">
        <v>46069</v>
      </c>
      <c r="AJ1094" s="2">
        <v>44974</v>
      </c>
    </row>
    <row r="1095" spans="1:36">
      <c r="A1095" s="1" t="str">
        <f>"Z673A31043"</f>
        <v>Z673A31043</v>
      </c>
      <c r="B1095" s="1" t="str">
        <f t="shared" si="30"/>
        <v>02406911202</v>
      </c>
      <c r="C1095" s="1" t="s">
        <v>13</v>
      </c>
      <c r="D1095" s="1" t="s">
        <v>1253</v>
      </c>
      <c r="E1095" s="1" t="s">
        <v>2415</v>
      </c>
      <c r="F1095" s="1" t="s">
        <v>49</v>
      </c>
      <c r="G1095" s="1" t="str">
        <f>"00503151201"</f>
        <v>00503151201</v>
      </c>
      <c r="I1095" s="1" t="s">
        <v>2329</v>
      </c>
      <c r="L1095" s="1" t="s">
        <v>44</v>
      </c>
      <c r="M1095" s="1" t="s">
        <v>153</v>
      </c>
      <c r="AG1095" s="1" t="s">
        <v>799</v>
      </c>
      <c r="AH1095" s="2">
        <v>44987</v>
      </c>
      <c r="AI1095" s="2">
        <v>45291</v>
      </c>
      <c r="AJ1095" s="2">
        <v>44987</v>
      </c>
    </row>
    <row r="1096" spans="1:36">
      <c r="A1096" s="1" t="str">
        <f>"96852801E6"</f>
        <v>96852801E6</v>
      </c>
      <c r="B1096" s="1" t="str">
        <f t="shared" si="30"/>
        <v>02406911202</v>
      </c>
      <c r="C1096" s="1" t="s">
        <v>13</v>
      </c>
      <c r="D1096" s="1" t="s">
        <v>37</v>
      </c>
      <c r="E1096" s="1" t="s">
        <v>2416</v>
      </c>
      <c r="F1096" s="1" t="s">
        <v>117</v>
      </c>
      <c r="G1096" s="1" t="str">
        <f>"09873140967"</f>
        <v>09873140967</v>
      </c>
      <c r="I1096" s="1" t="s">
        <v>2417</v>
      </c>
      <c r="L1096" s="1" t="s">
        <v>44</v>
      </c>
      <c r="M1096" s="1" t="s">
        <v>2418</v>
      </c>
      <c r="AG1096" s="1" t="s">
        <v>2419</v>
      </c>
      <c r="AH1096" s="2">
        <v>44987</v>
      </c>
      <c r="AI1096" s="2">
        <v>45626</v>
      </c>
      <c r="AJ1096" s="2">
        <v>44987</v>
      </c>
    </row>
    <row r="1097" spans="1:36">
      <c r="A1097" s="1" t="str">
        <f>"9685296F16"</f>
        <v>9685296F16</v>
      </c>
      <c r="B1097" s="1" t="str">
        <f t="shared" si="30"/>
        <v>02406911202</v>
      </c>
      <c r="C1097" s="1" t="s">
        <v>13</v>
      </c>
      <c r="D1097" s="1" t="s">
        <v>37</v>
      </c>
      <c r="E1097" s="1" t="s">
        <v>2416</v>
      </c>
      <c r="F1097" s="1" t="s">
        <v>117</v>
      </c>
      <c r="G1097" s="1" t="str">
        <f>"00832400154"</f>
        <v>00832400154</v>
      </c>
      <c r="I1097" s="1" t="s">
        <v>285</v>
      </c>
      <c r="L1097" s="1" t="s">
        <v>44</v>
      </c>
      <c r="M1097" s="1" t="s">
        <v>2420</v>
      </c>
      <c r="AG1097" s="1" t="s">
        <v>2421</v>
      </c>
      <c r="AH1097" s="2">
        <v>44987</v>
      </c>
      <c r="AI1097" s="2">
        <v>45626</v>
      </c>
      <c r="AJ1097" s="2">
        <v>44987</v>
      </c>
    </row>
    <row r="1098" spans="1:36">
      <c r="A1098" s="1" t="str">
        <f>"9685388B03"</f>
        <v>9685388B03</v>
      </c>
      <c r="B1098" s="1" t="str">
        <f t="shared" si="30"/>
        <v>02406911202</v>
      </c>
      <c r="C1098" s="1" t="s">
        <v>13</v>
      </c>
      <c r="D1098" s="1" t="s">
        <v>37</v>
      </c>
      <c r="E1098" s="1" t="s">
        <v>2422</v>
      </c>
      <c r="F1098" s="1" t="s">
        <v>117</v>
      </c>
      <c r="G1098" s="1" t="str">
        <f>"10051170156"</f>
        <v>10051170156</v>
      </c>
      <c r="I1098" s="1" t="s">
        <v>447</v>
      </c>
      <c r="L1098" s="1" t="s">
        <v>44</v>
      </c>
      <c r="M1098" s="1" t="s">
        <v>2423</v>
      </c>
      <c r="AG1098" s="1" t="s">
        <v>2424</v>
      </c>
      <c r="AH1098" s="2">
        <v>44987</v>
      </c>
      <c r="AI1098" s="2">
        <v>45626</v>
      </c>
      <c r="AJ1098" s="2">
        <v>44987</v>
      </c>
    </row>
    <row r="1099" spans="1:36">
      <c r="A1099" s="1" t="str">
        <f>"Z543A32793"</f>
        <v>Z543A32793</v>
      </c>
      <c r="B1099" s="1" t="str">
        <f t="shared" si="30"/>
        <v>02406911202</v>
      </c>
      <c r="C1099" s="1" t="s">
        <v>13</v>
      </c>
      <c r="D1099" s="1" t="s">
        <v>1312</v>
      </c>
      <c r="E1099" s="1" t="s">
        <v>2425</v>
      </c>
      <c r="F1099" s="1" t="s">
        <v>49</v>
      </c>
      <c r="G1099" s="1" t="str">
        <f>"00506781202"</f>
        <v>00506781202</v>
      </c>
      <c r="I1099" s="1" t="s">
        <v>2426</v>
      </c>
      <c r="L1099" s="1" t="s">
        <v>44</v>
      </c>
      <c r="M1099" s="1" t="s">
        <v>1491</v>
      </c>
      <c r="AG1099" s="1" t="s">
        <v>926</v>
      </c>
      <c r="AH1099" s="2">
        <v>44987</v>
      </c>
      <c r="AI1099" s="2">
        <v>45657</v>
      </c>
      <c r="AJ1099" s="2">
        <v>44987</v>
      </c>
    </row>
    <row r="1100" spans="1:36">
      <c r="A1100" s="1" t="str">
        <f>"ZAA3A29427"</f>
        <v>ZAA3A29427</v>
      </c>
      <c r="B1100" s="1" t="str">
        <f t="shared" si="30"/>
        <v>02406911202</v>
      </c>
      <c r="C1100" s="1" t="s">
        <v>13</v>
      </c>
      <c r="D1100" s="1" t="s">
        <v>1253</v>
      </c>
      <c r="E1100" s="1" t="s">
        <v>1317</v>
      </c>
      <c r="F1100" s="1" t="s">
        <v>49</v>
      </c>
      <c r="G1100" s="1" t="str">
        <f>"13181610158"</f>
        <v>13181610158</v>
      </c>
      <c r="I1100" s="1" t="s">
        <v>1643</v>
      </c>
      <c r="L1100" s="1" t="s">
        <v>44</v>
      </c>
      <c r="M1100" s="1" t="s">
        <v>1255</v>
      </c>
      <c r="AG1100" s="1" t="s">
        <v>2427</v>
      </c>
      <c r="AH1100" s="2">
        <v>44987</v>
      </c>
      <c r="AI1100" s="2">
        <v>45291</v>
      </c>
      <c r="AJ1100" s="2">
        <v>44987</v>
      </c>
    </row>
    <row r="1101" spans="1:36">
      <c r="A1101" s="1" t="str">
        <f>"Z0A3A335F2"</f>
        <v>Z0A3A335F2</v>
      </c>
      <c r="B1101" s="1" t="str">
        <f t="shared" si="30"/>
        <v>02406911202</v>
      </c>
      <c r="C1101" s="1" t="s">
        <v>13</v>
      </c>
      <c r="D1101" s="1" t="s">
        <v>1257</v>
      </c>
      <c r="E1101" s="1" t="s">
        <v>2428</v>
      </c>
      <c r="F1101" s="1" t="s">
        <v>49</v>
      </c>
      <c r="G1101" s="1" t="str">
        <f>"10767630154"</f>
        <v>10767630154</v>
      </c>
      <c r="I1101" s="1" t="s">
        <v>2429</v>
      </c>
      <c r="L1101" s="1" t="s">
        <v>44</v>
      </c>
      <c r="M1101" s="1" t="s">
        <v>946</v>
      </c>
      <c r="AG1101" s="1" t="s">
        <v>124</v>
      </c>
      <c r="AH1101" s="2">
        <v>44987</v>
      </c>
      <c r="AI1101" s="2">
        <v>45291</v>
      </c>
      <c r="AJ1101" s="2">
        <v>44987</v>
      </c>
    </row>
    <row r="1102" spans="1:36">
      <c r="A1102" s="1" t="str">
        <f>"ZC13A311F8"</f>
        <v>ZC13A311F8</v>
      </c>
      <c r="B1102" s="1" t="str">
        <f t="shared" si="30"/>
        <v>02406911202</v>
      </c>
      <c r="C1102" s="1" t="s">
        <v>13</v>
      </c>
      <c r="D1102" s="1" t="s">
        <v>1312</v>
      </c>
      <c r="E1102" s="1" t="s">
        <v>2430</v>
      </c>
      <c r="F1102" s="1" t="s">
        <v>49</v>
      </c>
      <c r="G1102" s="1" t="str">
        <f>"03640221200"</f>
        <v>03640221200</v>
      </c>
      <c r="I1102" s="1" t="s">
        <v>2431</v>
      </c>
      <c r="L1102" s="1" t="s">
        <v>44</v>
      </c>
      <c r="M1102" s="1" t="s">
        <v>1314</v>
      </c>
      <c r="AG1102" s="1" t="s">
        <v>2432</v>
      </c>
      <c r="AH1102" s="2">
        <v>44987</v>
      </c>
      <c r="AI1102" s="2">
        <v>45291</v>
      </c>
      <c r="AJ1102" s="2">
        <v>44987</v>
      </c>
    </row>
    <row r="1103" spans="1:36">
      <c r="A1103" s="1" t="str">
        <f>"ZCB3A29439"</f>
        <v>ZCB3A29439</v>
      </c>
      <c r="B1103" s="1" t="str">
        <f t="shared" si="30"/>
        <v>02406911202</v>
      </c>
      <c r="C1103" s="1" t="s">
        <v>13</v>
      </c>
      <c r="D1103" s="1" t="s">
        <v>1253</v>
      </c>
      <c r="E1103" s="1" t="s">
        <v>1317</v>
      </c>
      <c r="F1103" s="1" t="s">
        <v>49</v>
      </c>
      <c r="G1103" s="1" t="str">
        <f>"02173550282"</f>
        <v>02173550282</v>
      </c>
      <c r="I1103" s="1" t="s">
        <v>634</v>
      </c>
      <c r="L1103" s="1" t="s">
        <v>44</v>
      </c>
      <c r="M1103" s="1" t="s">
        <v>1255</v>
      </c>
      <c r="AG1103" s="1" t="s">
        <v>2433</v>
      </c>
      <c r="AH1103" s="2">
        <v>44988</v>
      </c>
      <c r="AI1103" s="2">
        <v>45291</v>
      </c>
      <c r="AJ1103" s="2">
        <v>44988</v>
      </c>
    </row>
    <row r="1104" spans="1:36">
      <c r="A1104" s="1" t="str">
        <f>"9672794220"</f>
        <v>9672794220</v>
      </c>
      <c r="B1104" s="1" t="str">
        <f t="shared" si="30"/>
        <v>02406911202</v>
      </c>
      <c r="C1104" s="1" t="s">
        <v>13</v>
      </c>
      <c r="D1104" s="1" t="s">
        <v>37</v>
      </c>
      <c r="E1104" s="1" t="s">
        <v>2434</v>
      </c>
      <c r="F1104" s="1" t="s">
        <v>117</v>
      </c>
      <c r="G1104" s="1" t="str">
        <f>"00216360164"</f>
        <v>00216360164</v>
      </c>
      <c r="I1104" s="1" t="s">
        <v>2435</v>
      </c>
      <c r="L1104" s="1" t="s">
        <v>44</v>
      </c>
      <c r="M1104" s="1" t="s">
        <v>2436</v>
      </c>
      <c r="AG1104" s="1" t="s">
        <v>124</v>
      </c>
      <c r="AH1104" s="2">
        <v>44988</v>
      </c>
      <c r="AI1104" s="2">
        <v>46010</v>
      </c>
      <c r="AJ1104" s="2">
        <v>44988</v>
      </c>
    </row>
    <row r="1105" spans="1:36">
      <c r="A1105" s="1" t="str">
        <f>"967281751A"</f>
        <v>967281751A</v>
      </c>
      <c r="B1105" s="1" t="str">
        <f t="shared" si="30"/>
        <v>02406911202</v>
      </c>
      <c r="C1105" s="1" t="s">
        <v>13</v>
      </c>
      <c r="D1105" s="1" t="s">
        <v>37</v>
      </c>
      <c r="E1105" s="1" t="s">
        <v>2437</v>
      </c>
      <c r="F1105" s="1" t="s">
        <v>117</v>
      </c>
      <c r="G1105" s="1" t="str">
        <f>"01468980626"</f>
        <v>01468980626</v>
      </c>
      <c r="I1105" s="1" t="s">
        <v>2438</v>
      </c>
      <c r="L1105" s="1" t="s">
        <v>44</v>
      </c>
      <c r="M1105" s="1" t="s">
        <v>2439</v>
      </c>
      <c r="AG1105" s="1" t="s">
        <v>2347</v>
      </c>
      <c r="AH1105" s="2">
        <v>44988</v>
      </c>
      <c r="AI1105" s="2">
        <v>46013</v>
      </c>
      <c r="AJ1105" s="2">
        <v>44988</v>
      </c>
    </row>
    <row r="1106" spans="1:36">
      <c r="A1106" s="1" t="str">
        <f>"96728364C8"</f>
        <v>96728364C8</v>
      </c>
      <c r="B1106" s="1" t="str">
        <f t="shared" si="30"/>
        <v>02406911202</v>
      </c>
      <c r="C1106" s="1" t="s">
        <v>13</v>
      </c>
      <c r="D1106" s="1" t="s">
        <v>37</v>
      </c>
      <c r="E1106" s="1" t="s">
        <v>2440</v>
      </c>
      <c r="F1106" s="1" t="s">
        <v>117</v>
      </c>
      <c r="G1106" s="1" t="str">
        <f>"01140970771"</f>
        <v>01140970771</v>
      </c>
      <c r="I1106" s="1" t="s">
        <v>2441</v>
      </c>
      <c r="L1106" s="1" t="s">
        <v>44</v>
      </c>
      <c r="M1106" s="1" t="s">
        <v>2442</v>
      </c>
      <c r="AG1106" s="1" t="s">
        <v>124</v>
      </c>
      <c r="AH1106" s="2">
        <v>44988</v>
      </c>
      <c r="AI1106" s="2">
        <v>46011</v>
      </c>
      <c r="AJ1106" s="2">
        <v>44988</v>
      </c>
    </row>
    <row r="1107" spans="1:36">
      <c r="A1107" s="1" t="str">
        <f>"967285761C"</f>
        <v>967285761C</v>
      </c>
      <c r="B1107" s="1" t="str">
        <f t="shared" si="30"/>
        <v>02406911202</v>
      </c>
      <c r="C1107" s="1" t="s">
        <v>13</v>
      </c>
      <c r="D1107" s="1" t="s">
        <v>37</v>
      </c>
      <c r="E1107" s="1" t="s">
        <v>2443</v>
      </c>
      <c r="F1107" s="1" t="s">
        <v>117</v>
      </c>
      <c r="G1107" s="1" t="str">
        <f>"01737830230"</f>
        <v>01737830230</v>
      </c>
      <c r="I1107" s="1" t="s">
        <v>1696</v>
      </c>
      <c r="L1107" s="1" t="s">
        <v>44</v>
      </c>
      <c r="M1107" s="1" t="s">
        <v>2444</v>
      </c>
      <c r="AG1107" s="1" t="s">
        <v>2445</v>
      </c>
      <c r="AH1107" s="2">
        <v>44988</v>
      </c>
      <c r="AI1107" s="2">
        <v>46011</v>
      </c>
      <c r="AJ1107" s="2">
        <v>44988</v>
      </c>
    </row>
    <row r="1108" spans="1:36">
      <c r="A1108" s="1" t="str">
        <f>"Z89399AA88"</f>
        <v>Z89399AA88</v>
      </c>
      <c r="B1108" s="1" t="str">
        <f t="shared" si="30"/>
        <v>02406911202</v>
      </c>
      <c r="C1108" s="1" t="s">
        <v>13</v>
      </c>
      <c r="D1108" s="1" t="s">
        <v>1253</v>
      </c>
      <c r="E1108" s="1" t="s">
        <v>1254</v>
      </c>
      <c r="F1108" s="1" t="s">
        <v>49</v>
      </c>
      <c r="G1108" s="1" t="str">
        <f>"00691781207"</f>
        <v>00691781207</v>
      </c>
      <c r="I1108" s="1" t="s">
        <v>704</v>
      </c>
      <c r="L1108" s="1" t="s">
        <v>44</v>
      </c>
      <c r="M1108" s="1" t="s">
        <v>1255</v>
      </c>
      <c r="AG1108" s="1" t="s">
        <v>2446</v>
      </c>
      <c r="AH1108" s="2">
        <v>44947</v>
      </c>
      <c r="AI1108" s="2">
        <v>45291</v>
      </c>
      <c r="AJ1108" s="2">
        <v>44947</v>
      </c>
    </row>
    <row r="1109" spans="1:36">
      <c r="A1109" s="1" t="str">
        <f>"Z5F39A578A"</f>
        <v>Z5F39A578A</v>
      </c>
      <c r="B1109" s="1" t="str">
        <f t="shared" si="30"/>
        <v>02406911202</v>
      </c>
      <c r="C1109" s="1" t="s">
        <v>13</v>
      </c>
      <c r="D1109" s="1" t="s">
        <v>1253</v>
      </c>
      <c r="E1109" s="1" t="s">
        <v>1254</v>
      </c>
      <c r="F1109" s="1" t="s">
        <v>49</v>
      </c>
      <c r="G1109" s="1" t="str">
        <f>"06032681006"</f>
        <v>06032681006</v>
      </c>
      <c r="I1109" s="1" t="s">
        <v>1351</v>
      </c>
      <c r="L1109" s="1" t="s">
        <v>44</v>
      </c>
      <c r="M1109" s="1" t="s">
        <v>1255</v>
      </c>
      <c r="AG1109" s="1" t="s">
        <v>2447</v>
      </c>
      <c r="AH1109" s="2">
        <v>44951</v>
      </c>
      <c r="AI1109" s="2">
        <v>45291</v>
      </c>
      <c r="AJ1109" s="2">
        <v>44951</v>
      </c>
    </row>
    <row r="1110" spans="1:36">
      <c r="A1110" s="1" t="str">
        <f>"Z2939A59A7"</f>
        <v>Z2939A59A7</v>
      </c>
      <c r="B1110" s="1" t="str">
        <f t="shared" si="30"/>
        <v>02406911202</v>
      </c>
      <c r="C1110" s="1" t="s">
        <v>13</v>
      </c>
      <c r="D1110" s="1" t="s">
        <v>1253</v>
      </c>
      <c r="E1110" s="1" t="s">
        <v>1254</v>
      </c>
      <c r="F1110" s="1" t="s">
        <v>49</v>
      </c>
      <c r="G1110" s="1" t="str">
        <f>"11575580151"</f>
        <v>11575580151</v>
      </c>
      <c r="I1110" s="1" t="s">
        <v>290</v>
      </c>
      <c r="L1110" s="1" t="s">
        <v>44</v>
      </c>
      <c r="M1110" s="1" t="s">
        <v>1255</v>
      </c>
      <c r="AG1110" s="1" t="s">
        <v>2448</v>
      </c>
      <c r="AH1110" s="2">
        <v>44951</v>
      </c>
      <c r="AI1110" s="2">
        <v>45291</v>
      </c>
      <c r="AJ1110" s="2">
        <v>44951</v>
      </c>
    </row>
    <row r="1111" spans="1:36">
      <c r="A1111" s="1" t="str">
        <f>"Z7239A5AB3"</f>
        <v>Z7239A5AB3</v>
      </c>
      <c r="B1111" s="1" t="str">
        <f t="shared" si="30"/>
        <v>02406911202</v>
      </c>
      <c r="C1111" s="1" t="s">
        <v>13</v>
      </c>
      <c r="D1111" s="1" t="s">
        <v>1253</v>
      </c>
      <c r="E1111" s="1" t="s">
        <v>1254</v>
      </c>
      <c r="F1111" s="1" t="s">
        <v>49</v>
      </c>
      <c r="G1111" s="1" t="str">
        <f>"06032681006"</f>
        <v>06032681006</v>
      </c>
      <c r="I1111" s="1" t="s">
        <v>1351</v>
      </c>
      <c r="L1111" s="1" t="s">
        <v>44</v>
      </c>
      <c r="M1111" s="1" t="s">
        <v>1255</v>
      </c>
      <c r="AG1111" s="1" t="s">
        <v>2449</v>
      </c>
      <c r="AH1111" s="2">
        <v>44951</v>
      </c>
      <c r="AI1111" s="2">
        <v>45291</v>
      </c>
      <c r="AJ1111" s="2">
        <v>44951</v>
      </c>
    </row>
    <row r="1112" spans="1:36">
      <c r="A1112" s="1" t="str">
        <f>"Z2B39BE748"</f>
        <v>Z2B39BE748</v>
      </c>
      <c r="B1112" s="1" t="str">
        <f t="shared" si="30"/>
        <v>02406911202</v>
      </c>
      <c r="C1112" s="1" t="s">
        <v>13</v>
      </c>
      <c r="D1112" s="1" t="s">
        <v>1253</v>
      </c>
      <c r="E1112" s="1" t="s">
        <v>1254</v>
      </c>
      <c r="F1112" s="1" t="s">
        <v>49</v>
      </c>
      <c r="G1112" s="1" t="str">
        <f>"07093190960"</f>
        <v>07093190960</v>
      </c>
      <c r="I1112" s="1" t="s">
        <v>2450</v>
      </c>
      <c r="L1112" s="1" t="s">
        <v>44</v>
      </c>
      <c r="M1112" s="1" t="s">
        <v>1255</v>
      </c>
      <c r="AG1112" s="1" t="s">
        <v>2451</v>
      </c>
      <c r="AH1112" s="2">
        <v>44957</v>
      </c>
      <c r="AI1112" s="2">
        <v>45291</v>
      </c>
      <c r="AJ1112" s="2">
        <v>44957</v>
      </c>
    </row>
    <row r="1113" spans="1:36">
      <c r="A1113" s="1" t="str">
        <f>"Z0139DFB24"</f>
        <v>Z0139DFB24</v>
      </c>
      <c r="B1113" s="1" t="str">
        <f t="shared" si="30"/>
        <v>02406911202</v>
      </c>
      <c r="C1113" s="1" t="s">
        <v>13</v>
      </c>
      <c r="D1113" s="1" t="s">
        <v>1257</v>
      </c>
      <c r="E1113" s="1" t="s">
        <v>2452</v>
      </c>
      <c r="F1113" s="1" t="s">
        <v>49</v>
      </c>
      <c r="G1113" s="1" t="str">
        <f>"04156880371"</f>
        <v>04156880371</v>
      </c>
      <c r="I1113" s="1" t="s">
        <v>1307</v>
      </c>
      <c r="L1113" s="1" t="s">
        <v>41</v>
      </c>
      <c r="AJ1113" s="2">
        <v>44965</v>
      </c>
    </row>
    <row r="1114" spans="1:36">
      <c r="A1114" s="1" t="str">
        <f>"Z0139DFB24"</f>
        <v>Z0139DFB24</v>
      </c>
      <c r="B1114" s="1" t="str">
        <f t="shared" si="30"/>
        <v>02406911202</v>
      </c>
      <c r="C1114" s="1" t="s">
        <v>13</v>
      </c>
      <c r="D1114" s="1" t="s">
        <v>1257</v>
      </c>
      <c r="E1114" s="1" t="s">
        <v>2452</v>
      </c>
      <c r="F1114" s="1" t="s">
        <v>49</v>
      </c>
      <c r="G1114" s="1" t="str">
        <f>"00458450012"</f>
        <v>00458450012</v>
      </c>
      <c r="I1114" s="1" t="s">
        <v>2453</v>
      </c>
      <c r="L1114" s="1" t="s">
        <v>41</v>
      </c>
      <c r="AJ1114" s="2">
        <v>44965</v>
      </c>
    </row>
    <row r="1115" spans="1:36">
      <c r="A1115" s="1" t="str">
        <f>"Z0139DFB24"</f>
        <v>Z0139DFB24</v>
      </c>
      <c r="B1115" s="1" t="str">
        <f t="shared" si="30"/>
        <v>02406911202</v>
      </c>
      <c r="C1115" s="1" t="s">
        <v>13</v>
      </c>
      <c r="D1115" s="1" t="s">
        <v>1257</v>
      </c>
      <c r="E1115" s="1" t="s">
        <v>2452</v>
      </c>
      <c r="F1115" s="1" t="s">
        <v>49</v>
      </c>
      <c r="G1115" s="1" t="str">
        <f>"01122350380"</f>
        <v>01122350380</v>
      </c>
      <c r="I1115" s="1" t="s">
        <v>2454</v>
      </c>
      <c r="L1115" s="1" t="s">
        <v>41</v>
      </c>
      <c r="AJ1115" s="2">
        <v>44965</v>
      </c>
    </row>
    <row r="1116" spans="1:36">
      <c r="A1116" s="1" t="str">
        <f>"Z0139DFB24"</f>
        <v>Z0139DFB24</v>
      </c>
      <c r="B1116" s="1" t="str">
        <f t="shared" si="30"/>
        <v>02406911202</v>
      </c>
      <c r="C1116" s="1" t="s">
        <v>13</v>
      </c>
      <c r="D1116" s="1" t="s">
        <v>1257</v>
      </c>
      <c r="E1116" s="1" t="s">
        <v>2452</v>
      </c>
      <c r="F1116" s="1" t="s">
        <v>49</v>
      </c>
      <c r="G1116" s="1" t="str">
        <f>"07620470018"</f>
        <v>07620470018</v>
      </c>
      <c r="I1116" s="1" t="s">
        <v>1465</v>
      </c>
      <c r="L1116" s="1" t="s">
        <v>44</v>
      </c>
      <c r="M1116" s="1" t="s">
        <v>2455</v>
      </c>
      <c r="AG1116" s="1" t="s">
        <v>2456</v>
      </c>
      <c r="AH1116" s="2">
        <v>44965</v>
      </c>
      <c r="AI1116" s="2">
        <v>44979</v>
      </c>
      <c r="AJ1116" s="2">
        <v>44965</v>
      </c>
    </row>
    <row r="1117" spans="1:36">
      <c r="A1117" s="1" t="str">
        <f>"ZA13A47228"</f>
        <v>ZA13A47228</v>
      </c>
      <c r="B1117" s="1" t="str">
        <f t="shared" si="30"/>
        <v>02406911202</v>
      </c>
      <c r="C1117" s="1" t="s">
        <v>13</v>
      </c>
      <c r="D1117" s="1" t="s">
        <v>1253</v>
      </c>
      <c r="E1117" s="1" t="s">
        <v>1270</v>
      </c>
      <c r="F1117" s="1" t="s">
        <v>49</v>
      </c>
      <c r="G1117" s="1" t="str">
        <f>"08693440151"</f>
        <v>08693440151</v>
      </c>
      <c r="I1117" s="1" t="s">
        <v>2457</v>
      </c>
      <c r="L1117" s="1" t="s">
        <v>44</v>
      </c>
      <c r="M1117" s="1" t="s">
        <v>1255</v>
      </c>
      <c r="AG1117" s="1" t="s">
        <v>2458</v>
      </c>
      <c r="AH1117" s="2">
        <v>44993</v>
      </c>
      <c r="AI1117" s="2">
        <v>45291</v>
      </c>
      <c r="AJ1117" s="2">
        <v>44993</v>
      </c>
    </row>
    <row r="1118" spans="1:36">
      <c r="A1118" s="1" t="str">
        <f>"ZD739EF7EF"</f>
        <v>ZD739EF7EF</v>
      </c>
      <c r="B1118" s="1" t="str">
        <f t="shared" si="30"/>
        <v>02406911202</v>
      </c>
      <c r="C1118" s="1" t="s">
        <v>13</v>
      </c>
      <c r="D1118" s="1" t="s">
        <v>205</v>
      </c>
      <c r="E1118" s="1" t="s">
        <v>2459</v>
      </c>
      <c r="F1118" s="1" t="s">
        <v>49</v>
      </c>
      <c r="G1118" s="1" t="str">
        <f>"03834671210"</f>
        <v>03834671210</v>
      </c>
      <c r="I1118" s="1" t="s">
        <v>2460</v>
      </c>
      <c r="L1118" s="1" t="s">
        <v>44</v>
      </c>
      <c r="M1118" s="1" t="s">
        <v>151</v>
      </c>
      <c r="AG1118" s="1" t="s">
        <v>2461</v>
      </c>
      <c r="AH1118" s="2">
        <v>44927</v>
      </c>
      <c r="AI1118" s="2">
        <v>45291</v>
      </c>
      <c r="AJ1118" s="2">
        <v>44927</v>
      </c>
    </row>
    <row r="1119" spans="1:36">
      <c r="A1119" s="1" t="str">
        <f>"Z3839EF642"</f>
        <v>Z3839EF642</v>
      </c>
      <c r="B1119" s="1" t="str">
        <f t="shared" si="30"/>
        <v>02406911202</v>
      </c>
      <c r="C1119" s="1" t="s">
        <v>13</v>
      </c>
      <c r="D1119" s="1" t="s">
        <v>205</v>
      </c>
      <c r="E1119" s="1" t="s">
        <v>2462</v>
      </c>
      <c r="F1119" s="1" t="s">
        <v>49</v>
      </c>
      <c r="G1119" s="1" t="str">
        <f>"01351300809"</f>
        <v>01351300809</v>
      </c>
      <c r="I1119" s="1" t="s">
        <v>2463</v>
      </c>
      <c r="L1119" s="1" t="s">
        <v>44</v>
      </c>
      <c r="M1119" s="1" t="s">
        <v>747</v>
      </c>
      <c r="AG1119" s="1" t="s">
        <v>2464</v>
      </c>
      <c r="AH1119" s="2">
        <v>44927</v>
      </c>
      <c r="AI1119" s="2">
        <v>45291</v>
      </c>
      <c r="AJ1119" s="2">
        <v>44927</v>
      </c>
    </row>
    <row r="1120" spans="1:36">
      <c r="A1120" s="1" t="str">
        <f>"ZA73A49421"</f>
        <v>ZA73A49421</v>
      </c>
      <c r="B1120" s="1" t="str">
        <f t="shared" si="30"/>
        <v>02406911202</v>
      </c>
      <c r="C1120" s="1" t="s">
        <v>13</v>
      </c>
      <c r="D1120" s="1" t="s">
        <v>1253</v>
      </c>
      <c r="E1120" s="1" t="s">
        <v>1260</v>
      </c>
      <c r="F1120" s="1" t="s">
        <v>49</v>
      </c>
      <c r="G1120" s="1" t="str">
        <f>"09301330966"</f>
        <v>09301330966</v>
      </c>
      <c r="I1120" s="1" t="s">
        <v>553</v>
      </c>
      <c r="L1120" s="1" t="s">
        <v>44</v>
      </c>
      <c r="M1120" s="1" t="s">
        <v>1255</v>
      </c>
      <c r="AG1120" s="1" t="s">
        <v>2465</v>
      </c>
      <c r="AH1120" s="2">
        <v>44993</v>
      </c>
      <c r="AI1120" s="2">
        <v>45291</v>
      </c>
      <c r="AJ1120" s="2">
        <v>44993</v>
      </c>
    </row>
    <row r="1121" spans="1:36">
      <c r="A1121" s="1" t="str">
        <f>"Z183A499B5"</f>
        <v>Z183A499B5</v>
      </c>
      <c r="B1121" s="1" t="str">
        <f t="shared" si="30"/>
        <v>02406911202</v>
      </c>
      <c r="C1121" s="1" t="s">
        <v>13</v>
      </c>
      <c r="D1121" s="1" t="s">
        <v>1312</v>
      </c>
      <c r="E1121" s="1" t="s">
        <v>2466</v>
      </c>
      <c r="F1121" s="1" t="s">
        <v>49</v>
      </c>
      <c r="G1121" s="1" t="str">
        <f>"00197370281"</f>
        <v>00197370281</v>
      </c>
      <c r="I1121" s="1" t="s">
        <v>1299</v>
      </c>
      <c r="L1121" s="1" t="s">
        <v>44</v>
      </c>
      <c r="M1121" s="1" t="s">
        <v>1735</v>
      </c>
      <c r="AG1121" s="1" t="s">
        <v>2467</v>
      </c>
      <c r="AH1121" s="2">
        <v>44993</v>
      </c>
      <c r="AI1121" s="2">
        <v>45291</v>
      </c>
      <c r="AJ1121" s="2">
        <v>44993</v>
      </c>
    </row>
    <row r="1122" spans="1:36">
      <c r="A1122" s="1" t="str">
        <f>"Z883A4E309"</f>
        <v>Z883A4E309</v>
      </c>
      <c r="B1122" s="1" t="str">
        <f t="shared" si="30"/>
        <v>02406911202</v>
      </c>
      <c r="C1122" s="1" t="s">
        <v>13</v>
      </c>
      <c r="D1122" s="1" t="s">
        <v>205</v>
      </c>
      <c r="E1122" s="1" t="s">
        <v>1686</v>
      </c>
      <c r="F1122" s="1" t="s">
        <v>39</v>
      </c>
      <c r="G1122" s="1" t="str">
        <f>"02070480401"</f>
        <v>02070480401</v>
      </c>
      <c r="I1122" s="1" t="s">
        <v>2468</v>
      </c>
      <c r="L1122" s="1" t="s">
        <v>44</v>
      </c>
      <c r="M1122" s="1" t="s">
        <v>917</v>
      </c>
      <c r="AG1122" s="1" t="s">
        <v>124</v>
      </c>
      <c r="AH1122" s="2">
        <v>44927</v>
      </c>
      <c r="AI1122" s="2">
        <v>45291</v>
      </c>
      <c r="AJ1122" s="2">
        <v>44927</v>
      </c>
    </row>
    <row r="1123" spans="1:36">
      <c r="A1123" s="1" t="str">
        <f>"Z553A4E209"</f>
        <v>Z553A4E209</v>
      </c>
      <c r="B1123" s="1" t="str">
        <f t="shared" si="30"/>
        <v>02406911202</v>
      </c>
      <c r="C1123" s="1" t="s">
        <v>13</v>
      </c>
      <c r="D1123" s="1" t="s">
        <v>205</v>
      </c>
      <c r="E1123" s="1" t="s">
        <v>1686</v>
      </c>
      <c r="F1123" s="1" t="s">
        <v>39</v>
      </c>
      <c r="G1123" s="1" t="str">
        <f>"03624150409"</f>
        <v>03624150409</v>
      </c>
      <c r="I1123" s="1" t="s">
        <v>2469</v>
      </c>
      <c r="L1123" s="1" t="s">
        <v>44</v>
      </c>
      <c r="M1123" s="1" t="s">
        <v>917</v>
      </c>
      <c r="AG1123" s="1" t="s">
        <v>2470</v>
      </c>
      <c r="AH1123" s="2">
        <v>44927</v>
      </c>
      <c r="AI1123" s="2">
        <v>45291</v>
      </c>
      <c r="AJ1123" s="2">
        <v>44927</v>
      </c>
    </row>
    <row r="1124" spans="1:36">
      <c r="A1124" s="1" t="str">
        <f>"Z2739B34BD"</f>
        <v>Z2739B34BD</v>
      </c>
      <c r="B1124" s="1" t="str">
        <f t="shared" si="30"/>
        <v>02406911202</v>
      </c>
      <c r="C1124" s="1" t="s">
        <v>13</v>
      </c>
      <c r="D1124" s="1" t="s">
        <v>37</v>
      </c>
      <c r="E1124" s="1" t="s">
        <v>2471</v>
      </c>
      <c r="F1124" s="1" t="s">
        <v>117</v>
      </c>
      <c r="G1124" s="1" t="str">
        <f>"05578651217"</f>
        <v>05578651217</v>
      </c>
      <c r="I1124" s="1" t="s">
        <v>2472</v>
      </c>
      <c r="L1124" s="1" t="s">
        <v>44</v>
      </c>
      <c r="M1124" s="1" t="s">
        <v>2473</v>
      </c>
      <c r="AG1124" s="1" t="s">
        <v>124</v>
      </c>
      <c r="AH1124" s="2">
        <v>44958</v>
      </c>
      <c r="AI1124" s="2">
        <v>45138</v>
      </c>
      <c r="AJ1124" s="2">
        <v>44958</v>
      </c>
    </row>
    <row r="1125" spans="1:36">
      <c r="A1125" s="1" t="str">
        <f>"Z7939C8592"</f>
        <v>Z7939C8592</v>
      </c>
      <c r="B1125" s="1" t="str">
        <f t="shared" si="30"/>
        <v>02406911202</v>
      </c>
      <c r="C1125" s="1" t="s">
        <v>13</v>
      </c>
      <c r="D1125" s="1" t="s">
        <v>1253</v>
      </c>
      <c r="E1125" s="1" t="s">
        <v>1270</v>
      </c>
      <c r="F1125" s="1" t="s">
        <v>49</v>
      </c>
      <c r="G1125" s="1" t="str">
        <f>"13209130155"</f>
        <v>13209130155</v>
      </c>
      <c r="I1125" s="1" t="s">
        <v>2474</v>
      </c>
      <c r="L1125" s="1" t="s">
        <v>44</v>
      </c>
      <c r="M1125" s="1" t="s">
        <v>1255</v>
      </c>
      <c r="AG1125" s="1" t="s">
        <v>2475</v>
      </c>
      <c r="AH1125" s="2">
        <v>44959</v>
      </c>
      <c r="AI1125" s="2">
        <v>45291</v>
      </c>
      <c r="AJ1125" s="2">
        <v>44959</v>
      </c>
    </row>
    <row r="1126" spans="1:36">
      <c r="A1126" s="1" t="str">
        <f>"9625420BDA"</f>
        <v>9625420BDA</v>
      </c>
      <c r="B1126" s="1" t="str">
        <f t="shared" si="30"/>
        <v>02406911202</v>
      </c>
      <c r="C1126" s="1" t="s">
        <v>13</v>
      </c>
      <c r="D1126" s="1" t="s">
        <v>37</v>
      </c>
      <c r="E1126" s="1" t="s">
        <v>2476</v>
      </c>
      <c r="F1126" s="1" t="s">
        <v>117</v>
      </c>
      <c r="G1126" s="1" t="str">
        <f>"02416870992"</f>
        <v>02416870992</v>
      </c>
      <c r="I1126" s="1" t="s">
        <v>2477</v>
      </c>
      <c r="L1126" s="1" t="s">
        <v>44</v>
      </c>
      <c r="M1126" s="1" t="s">
        <v>2478</v>
      </c>
      <c r="AG1126" s="1" t="s">
        <v>2479</v>
      </c>
      <c r="AH1126" s="2">
        <v>44958</v>
      </c>
      <c r="AI1126" s="2">
        <v>45138</v>
      </c>
      <c r="AJ1126" s="2">
        <v>44958</v>
      </c>
    </row>
    <row r="1127" spans="1:36">
      <c r="A1127" s="1" t="str">
        <f>"96728998C4"</f>
        <v>96728998C4</v>
      </c>
      <c r="B1127" s="1" t="str">
        <f t="shared" si="30"/>
        <v>02406911202</v>
      </c>
      <c r="C1127" s="1" t="s">
        <v>13</v>
      </c>
      <c r="D1127" s="1" t="s">
        <v>37</v>
      </c>
      <c r="E1127" s="1" t="s">
        <v>2480</v>
      </c>
      <c r="F1127" s="1" t="s">
        <v>117</v>
      </c>
      <c r="G1127" s="1" t="str">
        <f>"01737830230"</f>
        <v>01737830230</v>
      </c>
      <c r="I1127" s="1" t="s">
        <v>1696</v>
      </c>
      <c r="L1127" s="1" t="s">
        <v>44</v>
      </c>
      <c r="M1127" s="1" t="s">
        <v>2481</v>
      </c>
      <c r="AG1127" s="1" t="s">
        <v>124</v>
      </c>
      <c r="AH1127" s="2">
        <v>44988</v>
      </c>
      <c r="AI1127" s="2">
        <v>46011</v>
      </c>
      <c r="AJ1127" s="2">
        <v>44988</v>
      </c>
    </row>
    <row r="1128" spans="1:36">
      <c r="A1128" s="1" t="str">
        <f>"9672962CC0"</f>
        <v>9672962CC0</v>
      </c>
      <c r="B1128" s="1" t="str">
        <f t="shared" si="30"/>
        <v>02406911202</v>
      </c>
      <c r="C1128" s="1" t="s">
        <v>13</v>
      </c>
      <c r="D1128" s="1" t="s">
        <v>37</v>
      </c>
      <c r="E1128" s="1" t="s">
        <v>2482</v>
      </c>
      <c r="F1128" s="1" t="s">
        <v>117</v>
      </c>
      <c r="G1128" s="1" t="str">
        <f>"00674840152"</f>
        <v>00674840152</v>
      </c>
      <c r="I1128" s="1" t="s">
        <v>190</v>
      </c>
      <c r="L1128" s="1" t="s">
        <v>44</v>
      </c>
      <c r="M1128" s="1" t="s">
        <v>2483</v>
      </c>
      <c r="AG1128" s="1" t="s">
        <v>124</v>
      </c>
      <c r="AH1128" s="2">
        <v>44988</v>
      </c>
      <c r="AI1128" s="2">
        <v>46010</v>
      </c>
      <c r="AJ1128" s="2">
        <v>44988</v>
      </c>
    </row>
    <row r="1129" spans="1:36">
      <c r="A1129" s="1" t="str">
        <f>"ZEE39C49EC"</f>
        <v>ZEE39C49EC</v>
      </c>
      <c r="B1129" s="1" t="str">
        <f t="shared" si="30"/>
        <v>02406911202</v>
      </c>
      <c r="C1129" s="1" t="s">
        <v>13</v>
      </c>
      <c r="D1129" s="1" t="s">
        <v>1741</v>
      </c>
      <c r="E1129" s="1" t="s">
        <v>2484</v>
      </c>
      <c r="F1129" s="1" t="s">
        <v>39</v>
      </c>
      <c r="G1129" s="1" t="str">
        <f>"15379561002"</f>
        <v>15379561002</v>
      </c>
      <c r="I1129" s="1" t="s">
        <v>2485</v>
      </c>
      <c r="L1129" s="1" t="s">
        <v>44</v>
      </c>
      <c r="M1129" s="1" t="s">
        <v>2486</v>
      </c>
      <c r="AG1129" s="1" t="s">
        <v>2487</v>
      </c>
      <c r="AH1129" s="2">
        <v>44986</v>
      </c>
      <c r="AI1129" s="2">
        <v>45351</v>
      </c>
      <c r="AJ1129" s="2">
        <v>44986</v>
      </c>
    </row>
    <row r="1130" spans="1:36">
      <c r="A1130" s="1" t="str">
        <f>"Z2E3A3AD76"</f>
        <v>Z2E3A3AD76</v>
      </c>
      <c r="B1130" s="1" t="str">
        <f t="shared" si="30"/>
        <v>02406911202</v>
      </c>
      <c r="C1130" s="1" t="s">
        <v>13</v>
      </c>
      <c r="D1130" s="1" t="s">
        <v>1253</v>
      </c>
      <c r="E1130" s="1" t="s">
        <v>1270</v>
      </c>
      <c r="F1130" s="1" t="s">
        <v>49</v>
      </c>
      <c r="G1130" s="1" t="str">
        <f>"00942591009"</f>
        <v>00942591009</v>
      </c>
      <c r="I1130" s="1" t="s">
        <v>2488</v>
      </c>
      <c r="L1130" s="1" t="s">
        <v>44</v>
      </c>
      <c r="M1130" s="1" t="s">
        <v>1255</v>
      </c>
      <c r="AG1130" s="1" t="s">
        <v>1467</v>
      </c>
      <c r="AH1130" s="2">
        <v>44991</v>
      </c>
      <c r="AI1130" s="2">
        <v>45291</v>
      </c>
      <c r="AJ1130" s="2">
        <v>44991</v>
      </c>
    </row>
    <row r="1131" spans="1:36">
      <c r="A1131" s="1" t="str">
        <f>"Z643A3BB09"</f>
        <v>Z643A3BB09</v>
      </c>
      <c r="B1131" s="1" t="str">
        <f t="shared" si="30"/>
        <v>02406911202</v>
      </c>
      <c r="C1131" s="1" t="s">
        <v>13</v>
      </c>
      <c r="D1131" s="1" t="s">
        <v>205</v>
      </c>
      <c r="E1131" s="1" t="s">
        <v>2489</v>
      </c>
      <c r="F1131" s="1" t="s">
        <v>49</v>
      </c>
      <c r="G1131" s="1" t="str">
        <f>"01067740397"</f>
        <v>01067740397</v>
      </c>
      <c r="I1131" s="1" t="s">
        <v>1833</v>
      </c>
      <c r="L1131" s="1" t="s">
        <v>44</v>
      </c>
      <c r="M1131" s="1" t="s">
        <v>509</v>
      </c>
      <c r="AG1131" s="1" t="s">
        <v>2490</v>
      </c>
      <c r="AH1131" s="2">
        <v>44927</v>
      </c>
      <c r="AI1131" s="2">
        <v>45291</v>
      </c>
      <c r="AJ1131" s="2">
        <v>44927</v>
      </c>
    </row>
    <row r="1132" spans="1:36">
      <c r="A1132" s="1" t="str">
        <f>"Z163A3C177"</f>
        <v>Z163A3C177</v>
      </c>
      <c r="B1132" s="1" t="str">
        <f t="shared" si="30"/>
        <v>02406911202</v>
      </c>
      <c r="C1132" s="1" t="s">
        <v>13</v>
      </c>
      <c r="D1132" s="1" t="s">
        <v>1253</v>
      </c>
      <c r="E1132" s="1" t="s">
        <v>1254</v>
      </c>
      <c r="F1132" s="1" t="s">
        <v>49</v>
      </c>
      <c r="G1132" s="1" t="str">
        <f>"11206730159"</f>
        <v>11206730159</v>
      </c>
      <c r="I1132" s="1" t="s">
        <v>192</v>
      </c>
      <c r="L1132" s="1" t="s">
        <v>44</v>
      </c>
      <c r="M1132" s="1" t="s">
        <v>1255</v>
      </c>
      <c r="AG1132" s="1" t="s">
        <v>2491</v>
      </c>
      <c r="AH1132" s="2">
        <v>44991</v>
      </c>
      <c r="AI1132" s="2">
        <v>45291</v>
      </c>
      <c r="AJ1132" s="2">
        <v>44991</v>
      </c>
    </row>
    <row r="1133" spans="1:36">
      <c r="A1133" s="1" t="str">
        <f>"ZBB3A43D5B"</f>
        <v>ZBB3A43D5B</v>
      </c>
      <c r="B1133" s="1" t="str">
        <f t="shared" si="30"/>
        <v>02406911202</v>
      </c>
      <c r="C1133" s="1" t="s">
        <v>13</v>
      </c>
      <c r="D1133" s="1" t="s">
        <v>1253</v>
      </c>
      <c r="E1133" s="1" t="s">
        <v>1270</v>
      </c>
      <c r="F1133" s="1" t="s">
        <v>49</v>
      </c>
      <c r="G1133" s="1" t="str">
        <f>"12792100153"</f>
        <v>12792100153</v>
      </c>
      <c r="I1133" s="1" t="s">
        <v>803</v>
      </c>
      <c r="L1133" s="1" t="s">
        <v>44</v>
      </c>
      <c r="M1133" s="1" t="s">
        <v>153</v>
      </c>
      <c r="AG1133" s="1" t="s">
        <v>2492</v>
      </c>
      <c r="AH1133" s="2">
        <v>44992</v>
      </c>
      <c r="AI1133" s="2">
        <v>45291</v>
      </c>
      <c r="AJ1133" s="2">
        <v>44992</v>
      </c>
    </row>
    <row r="1134" spans="1:36">
      <c r="A1134" s="1" t="str">
        <f>"ZF33A45A2D"</f>
        <v>ZF33A45A2D</v>
      </c>
      <c r="B1134" s="1" t="str">
        <f t="shared" si="30"/>
        <v>02406911202</v>
      </c>
      <c r="C1134" s="1" t="s">
        <v>13</v>
      </c>
      <c r="D1134" s="1" t="s">
        <v>1257</v>
      </c>
      <c r="E1134" s="1" t="s">
        <v>2493</v>
      </c>
      <c r="F1134" s="1" t="s">
        <v>49</v>
      </c>
      <c r="G1134" s="1" t="str">
        <f>"03663500969"</f>
        <v>03663500969</v>
      </c>
      <c r="I1134" s="1" t="s">
        <v>1383</v>
      </c>
      <c r="L1134" s="1" t="s">
        <v>44</v>
      </c>
      <c r="M1134" s="1" t="s">
        <v>933</v>
      </c>
      <c r="AG1134" s="1" t="s">
        <v>124</v>
      </c>
      <c r="AH1134" s="2">
        <v>44993</v>
      </c>
      <c r="AI1134" s="2">
        <v>45000</v>
      </c>
      <c r="AJ1134" s="2">
        <v>44993</v>
      </c>
    </row>
    <row r="1135" spans="1:36">
      <c r="A1135" s="1" t="str">
        <f>"Z043A4597D"</f>
        <v>Z043A4597D</v>
      </c>
      <c r="B1135" s="1" t="str">
        <f t="shared" si="30"/>
        <v>02406911202</v>
      </c>
      <c r="C1135" s="1" t="s">
        <v>13</v>
      </c>
      <c r="D1135" s="1" t="s">
        <v>1312</v>
      </c>
      <c r="E1135" s="1" t="s">
        <v>2494</v>
      </c>
      <c r="F1135" s="1" t="s">
        <v>49</v>
      </c>
      <c r="G1135" s="1" t="str">
        <f>"00960900371"</f>
        <v>00960900371</v>
      </c>
      <c r="I1135" s="1" t="s">
        <v>2495</v>
      </c>
      <c r="L1135" s="1" t="s">
        <v>44</v>
      </c>
      <c r="M1135" s="1" t="s">
        <v>1735</v>
      </c>
      <c r="AG1135" s="1" t="s">
        <v>2496</v>
      </c>
      <c r="AH1135" s="2">
        <v>44993</v>
      </c>
      <c r="AI1135" s="2">
        <v>45077</v>
      </c>
      <c r="AJ1135" s="2">
        <v>44993</v>
      </c>
    </row>
    <row r="1136" spans="1:36">
      <c r="A1136" s="1" t="str">
        <f>"ZD23A47A76"</f>
        <v>ZD23A47A76</v>
      </c>
      <c r="B1136" s="1" t="str">
        <f t="shared" si="30"/>
        <v>02406911202</v>
      </c>
      <c r="C1136" s="1" t="s">
        <v>13</v>
      </c>
      <c r="D1136" s="1" t="s">
        <v>1253</v>
      </c>
      <c r="E1136" s="1" t="s">
        <v>1317</v>
      </c>
      <c r="F1136" s="1" t="s">
        <v>49</v>
      </c>
      <c r="G1136" s="1" t="str">
        <f>"03318780966"</f>
        <v>03318780966</v>
      </c>
      <c r="I1136" s="1" t="s">
        <v>1493</v>
      </c>
      <c r="L1136" s="1" t="s">
        <v>44</v>
      </c>
      <c r="M1136" s="1" t="s">
        <v>1255</v>
      </c>
      <c r="AG1136" s="1" t="s">
        <v>2497</v>
      </c>
      <c r="AH1136" s="2">
        <v>44993</v>
      </c>
      <c r="AI1136" s="2">
        <v>45291</v>
      </c>
      <c r="AJ1136" s="2">
        <v>44993</v>
      </c>
    </row>
    <row r="1137" spans="1:36">
      <c r="A1137" s="1" t="str">
        <f>"Z30398C4A5"</f>
        <v>Z30398C4A5</v>
      </c>
      <c r="B1137" s="1" t="str">
        <f t="shared" si="30"/>
        <v>02406911202</v>
      </c>
      <c r="C1137" s="1" t="s">
        <v>13</v>
      </c>
      <c r="D1137" s="1" t="s">
        <v>1253</v>
      </c>
      <c r="E1137" s="1" t="s">
        <v>2170</v>
      </c>
      <c r="F1137" s="1" t="s">
        <v>49</v>
      </c>
      <c r="G1137" s="1" t="str">
        <f>"01099110999"</f>
        <v>01099110999</v>
      </c>
      <c r="I1137" s="1" t="s">
        <v>2498</v>
      </c>
      <c r="L1137" s="1" t="s">
        <v>44</v>
      </c>
      <c r="M1137" s="1" t="s">
        <v>1255</v>
      </c>
      <c r="AG1137" s="1" t="s">
        <v>2499</v>
      </c>
      <c r="AH1137" s="2">
        <v>44944</v>
      </c>
      <c r="AI1137" s="2">
        <v>45291</v>
      </c>
      <c r="AJ1137" s="2">
        <v>44944</v>
      </c>
    </row>
    <row r="1138" spans="1:36">
      <c r="A1138" s="1" t="str">
        <f>"Z82398C81E"</f>
        <v>Z82398C81E</v>
      </c>
      <c r="B1138" s="1" t="str">
        <f t="shared" si="30"/>
        <v>02406911202</v>
      </c>
      <c r="C1138" s="1" t="s">
        <v>13</v>
      </c>
      <c r="D1138" s="1" t="s">
        <v>1257</v>
      </c>
      <c r="E1138" s="1" t="s">
        <v>2500</v>
      </c>
      <c r="F1138" s="1" t="s">
        <v>49</v>
      </c>
      <c r="G1138" s="1" t="str">
        <f>"03390661209"</f>
        <v>03390661209</v>
      </c>
      <c r="I1138" s="1" t="s">
        <v>2501</v>
      </c>
      <c r="L1138" s="1" t="s">
        <v>44</v>
      </c>
      <c r="M1138" s="1" t="s">
        <v>103</v>
      </c>
      <c r="AG1138" s="1" t="s">
        <v>2502</v>
      </c>
      <c r="AH1138" s="2">
        <v>44944</v>
      </c>
      <c r="AI1138" s="2">
        <v>45291</v>
      </c>
      <c r="AJ1138" s="2">
        <v>44944</v>
      </c>
    </row>
    <row r="1139" spans="1:36">
      <c r="A1139" s="1" t="str">
        <f>"Z97398E359"</f>
        <v>Z97398E359</v>
      </c>
      <c r="B1139" s="1" t="str">
        <f t="shared" si="30"/>
        <v>02406911202</v>
      </c>
      <c r="C1139" s="1" t="s">
        <v>13</v>
      </c>
      <c r="D1139" s="1" t="s">
        <v>1312</v>
      </c>
      <c r="E1139" s="1" t="s">
        <v>2503</v>
      </c>
      <c r="F1139" s="1" t="s">
        <v>49</v>
      </c>
      <c r="G1139" s="1" t="str">
        <f>"00926020066"</f>
        <v>00926020066</v>
      </c>
      <c r="I1139" s="1" t="s">
        <v>2504</v>
      </c>
      <c r="L1139" s="1" t="s">
        <v>44</v>
      </c>
      <c r="M1139" s="1" t="s">
        <v>1314</v>
      </c>
      <c r="AG1139" s="1" t="s">
        <v>2505</v>
      </c>
      <c r="AH1139" s="2">
        <v>44944</v>
      </c>
      <c r="AI1139" s="2">
        <v>46022</v>
      </c>
      <c r="AJ1139" s="2">
        <v>44944</v>
      </c>
    </row>
    <row r="1140" spans="1:36">
      <c r="A1140" s="1" t="str">
        <f>"Z00398EAB1"</f>
        <v>Z00398EAB1</v>
      </c>
      <c r="B1140" s="1" t="str">
        <f t="shared" si="30"/>
        <v>02406911202</v>
      </c>
      <c r="C1140" s="1" t="s">
        <v>13</v>
      </c>
      <c r="D1140" s="1" t="s">
        <v>1257</v>
      </c>
      <c r="E1140" s="1" t="s">
        <v>2506</v>
      </c>
      <c r="F1140" s="1" t="s">
        <v>49</v>
      </c>
      <c r="G1140" s="1" t="str">
        <f>"06175550638"</f>
        <v>06175550638</v>
      </c>
      <c r="I1140" s="1" t="s">
        <v>2507</v>
      </c>
      <c r="L1140" s="1" t="s">
        <v>44</v>
      </c>
      <c r="M1140" s="1" t="s">
        <v>103</v>
      </c>
      <c r="AG1140" s="1" t="s">
        <v>2508</v>
      </c>
      <c r="AH1140" s="2">
        <v>44944</v>
      </c>
      <c r="AI1140" s="2">
        <v>45291</v>
      </c>
      <c r="AJ1140" s="2">
        <v>44944</v>
      </c>
    </row>
    <row r="1141" spans="1:36">
      <c r="A1141" s="1" t="str">
        <f>"ZEF39B7087"</f>
        <v>ZEF39B7087</v>
      </c>
      <c r="B1141" s="1" t="str">
        <f t="shared" si="30"/>
        <v>02406911202</v>
      </c>
      <c r="C1141" s="1" t="s">
        <v>13</v>
      </c>
      <c r="D1141" s="1" t="s">
        <v>1312</v>
      </c>
      <c r="E1141" s="1" t="s">
        <v>2509</v>
      </c>
      <c r="F1141" s="1" t="s">
        <v>49</v>
      </c>
      <c r="G1141" s="1" t="str">
        <f>"01587801208"</f>
        <v>01587801208</v>
      </c>
      <c r="I1141" s="1" t="s">
        <v>2510</v>
      </c>
      <c r="L1141" s="1" t="s">
        <v>44</v>
      </c>
      <c r="M1141" s="1" t="s">
        <v>1641</v>
      </c>
      <c r="AG1141" s="1" t="s">
        <v>1515</v>
      </c>
      <c r="AH1141" s="2">
        <v>44927</v>
      </c>
      <c r="AI1141" s="2">
        <v>44957</v>
      </c>
      <c r="AJ1141" s="2">
        <v>44927</v>
      </c>
    </row>
    <row r="1142" spans="1:36">
      <c r="A1142" s="1" t="str">
        <f>"9450763857"</f>
        <v>9450763857</v>
      </c>
      <c r="B1142" s="1" t="str">
        <f t="shared" si="30"/>
        <v>02406911202</v>
      </c>
      <c r="C1142" s="1" t="s">
        <v>13</v>
      </c>
      <c r="D1142" s="1" t="s">
        <v>37</v>
      </c>
      <c r="E1142" s="1" t="s">
        <v>2511</v>
      </c>
      <c r="F1142" s="1" t="s">
        <v>49</v>
      </c>
      <c r="G1142" s="1" t="str">
        <f>"02368591208"</f>
        <v>02368591208</v>
      </c>
      <c r="I1142" s="1" t="s">
        <v>444</v>
      </c>
      <c r="L1142" s="1" t="s">
        <v>44</v>
      </c>
      <c r="M1142" s="1" t="s">
        <v>2512</v>
      </c>
      <c r="AG1142" s="1" t="s">
        <v>2513</v>
      </c>
      <c r="AH1142" s="2">
        <v>44958</v>
      </c>
      <c r="AI1142" s="2">
        <v>45688</v>
      </c>
      <c r="AJ1142" s="2">
        <v>44958</v>
      </c>
    </row>
    <row r="1143" spans="1:36">
      <c r="A1143" s="1" t="str">
        <f>"Z5E3A43DC8"</f>
        <v>Z5E3A43DC8</v>
      </c>
      <c r="B1143" s="1" t="str">
        <f t="shared" si="30"/>
        <v>02406911202</v>
      </c>
      <c r="C1143" s="1" t="s">
        <v>13</v>
      </c>
      <c r="D1143" s="1" t="s">
        <v>1253</v>
      </c>
      <c r="E1143" s="1" t="s">
        <v>1254</v>
      </c>
      <c r="F1143" s="1" t="s">
        <v>49</v>
      </c>
      <c r="G1143" s="1" t="str">
        <f>"10985900157"</f>
        <v>10985900157</v>
      </c>
      <c r="I1143" s="1" t="s">
        <v>154</v>
      </c>
      <c r="L1143" s="1" t="s">
        <v>44</v>
      </c>
      <c r="M1143" s="1" t="s">
        <v>1255</v>
      </c>
      <c r="AG1143" s="1" t="s">
        <v>2514</v>
      </c>
      <c r="AH1143" s="2">
        <v>44992</v>
      </c>
      <c r="AI1143" s="2">
        <v>45291</v>
      </c>
      <c r="AJ1143" s="2">
        <v>44992</v>
      </c>
    </row>
    <row r="1144" spans="1:36">
      <c r="A1144" s="1" t="str">
        <f>"ZE33A47A24"</f>
        <v>ZE33A47A24</v>
      </c>
      <c r="B1144" s="1" t="str">
        <f t="shared" si="30"/>
        <v>02406911202</v>
      </c>
      <c r="C1144" s="1" t="s">
        <v>13</v>
      </c>
      <c r="D1144" s="1" t="s">
        <v>1253</v>
      </c>
      <c r="E1144" s="1" t="s">
        <v>1317</v>
      </c>
      <c r="F1144" s="1" t="s">
        <v>49</v>
      </c>
      <c r="G1144" s="1" t="str">
        <f>"05896100962"</f>
        <v>05896100962</v>
      </c>
      <c r="I1144" s="1" t="s">
        <v>1413</v>
      </c>
      <c r="L1144" s="1" t="s">
        <v>44</v>
      </c>
      <c r="M1144" s="1" t="s">
        <v>1255</v>
      </c>
      <c r="AG1144" s="1" t="s">
        <v>1414</v>
      </c>
      <c r="AH1144" s="2">
        <v>44994</v>
      </c>
      <c r="AI1144" s="2">
        <v>45291</v>
      </c>
      <c r="AJ1144" s="2">
        <v>44994</v>
      </c>
    </row>
    <row r="1145" spans="1:36">
      <c r="A1145" s="1" t="str">
        <f>"Z2E3A4E24F"</f>
        <v>Z2E3A4E24F</v>
      </c>
      <c r="B1145" s="1" t="str">
        <f t="shared" si="30"/>
        <v>02406911202</v>
      </c>
      <c r="C1145" s="1" t="s">
        <v>13</v>
      </c>
      <c r="D1145" s="1" t="s">
        <v>205</v>
      </c>
      <c r="E1145" s="1" t="s">
        <v>1686</v>
      </c>
      <c r="F1145" s="1" t="s">
        <v>39</v>
      </c>
      <c r="G1145" s="1" t="str">
        <f>"00571750348"</f>
        <v>00571750348</v>
      </c>
      <c r="I1145" s="1" t="s">
        <v>2515</v>
      </c>
      <c r="L1145" s="1" t="s">
        <v>44</v>
      </c>
      <c r="M1145" s="1" t="s">
        <v>917</v>
      </c>
      <c r="AG1145" s="1" t="s">
        <v>124</v>
      </c>
      <c r="AH1145" s="2">
        <v>44927</v>
      </c>
      <c r="AI1145" s="2">
        <v>45291</v>
      </c>
      <c r="AJ1145" s="2">
        <v>44927</v>
      </c>
    </row>
    <row r="1146" spans="1:36">
      <c r="A1146" s="1" t="str">
        <f>"Z783A4E0AF"</f>
        <v>Z783A4E0AF</v>
      </c>
      <c r="B1146" s="1" t="str">
        <f t="shared" si="30"/>
        <v>02406911202</v>
      </c>
      <c r="C1146" s="1" t="s">
        <v>13</v>
      </c>
      <c r="D1146" s="1" t="s">
        <v>205</v>
      </c>
      <c r="E1146" s="1" t="s">
        <v>1686</v>
      </c>
      <c r="F1146" s="1" t="s">
        <v>39</v>
      </c>
      <c r="G1146" s="1" t="str">
        <f>"01861050365"</f>
        <v>01861050365</v>
      </c>
      <c r="I1146" s="1" t="s">
        <v>2516</v>
      </c>
      <c r="L1146" s="1" t="s">
        <v>44</v>
      </c>
      <c r="M1146" s="1" t="s">
        <v>917</v>
      </c>
      <c r="AG1146" s="1" t="s">
        <v>2517</v>
      </c>
      <c r="AH1146" s="2">
        <v>44927</v>
      </c>
      <c r="AI1146" s="2">
        <v>45291</v>
      </c>
      <c r="AJ1146" s="2">
        <v>44927</v>
      </c>
    </row>
    <row r="1147" spans="1:36">
      <c r="A1147" s="1" t="str">
        <f>"Z513A4E4E1"</f>
        <v>Z513A4E4E1</v>
      </c>
      <c r="B1147" s="1" t="str">
        <f t="shared" si="30"/>
        <v>02406911202</v>
      </c>
      <c r="C1147" s="1" t="s">
        <v>13</v>
      </c>
      <c r="D1147" s="1" t="s">
        <v>205</v>
      </c>
      <c r="E1147" s="1" t="s">
        <v>1686</v>
      </c>
      <c r="F1147" s="1" t="s">
        <v>39</v>
      </c>
      <c r="G1147" s="1" t="str">
        <f>"04107330377"</f>
        <v>04107330377</v>
      </c>
      <c r="I1147" s="1" t="s">
        <v>1754</v>
      </c>
      <c r="L1147" s="1" t="s">
        <v>44</v>
      </c>
      <c r="M1147" s="1" t="s">
        <v>509</v>
      </c>
      <c r="AG1147" s="1" t="s">
        <v>2518</v>
      </c>
      <c r="AH1147" s="2">
        <v>44927</v>
      </c>
      <c r="AI1147" s="2">
        <v>45291</v>
      </c>
      <c r="AJ1147" s="2">
        <v>44927</v>
      </c>
    </row>
    <row r="1148" spans="1:36">
      <c r="A1148" s="1" t="str">
        <f>"Z6F3A4E038"</f>
        <v>Z6F3A4E038</v>
      </c>
      <c r="B1148" s="1" t="str">
        <f t="shared" si="30"/>
        <v>02406911202</v>
      </c>
      <c r="C1148" s="1" t="s">
        <v>13</v>
      </c>
      <c r="D1148" s="1" t="s">
        <v>205</v>
      </c>
      <c r="E1148" s="1" t="s">
        <v>1686</v>
      </c>
      <c r="F1148" s="1" t="s">
        <v>39</v>
      </c>
      <c r="G1148" s="1" t="str">
        <f>"01696020351"</f>
        <v>01696020351</v>
      </c>
      <c r="I1148" s="1" t="s">
        <v>2519</v>
      </c>
      <c r="L1148" s="1" t="s">
        <v>44</v>
      </c>
      <c r="M1148" s="1" t="s">
        <v>917</v>
      </c>
      <c r="AG1148" s="1" t="s">
        <v>124</v>
      </c>
      <c r="AH1148" s="2">
        <v>44927</v>
      </c>
      <c r="AI1148" s="2">
        <v>45291</v>
      </c>
      <c r="AJ1148" s="2">
        <v>44927</v>
      </c>
    </row>
    <row r="1149" spans="1:36">
      <c r="A1149" s="1" t="str">
        <f>"ZA63A4E347"</f>
        <v>ZA63A4E347</v>
      </c>
      <c r="B1149" s="1" t="str">
        <f t="shared" si="30"/>
        <v>02406911202</v>
      </c>
      <c r="C1149" s="1" t="s">
        <v>13</v>
      </c>
      <c r="D1149" s="1" t="s">
        <v>205</v>
      </c>
      <c r="E1149" s="1" t="s">
        <v>1686</v>
      </c>
      <c r="F1149" s="1" t="s">
        <v>39</v>
      </c>
      <c r="G1149" s="1" t="str">
        <f>"00725490338"</f>
        <v>00725490338</v>
      </c>
      <c r="I1149" s="1" t="s">
        <v>2520</v>
      </c>
      <c r="L1149" s="1" t="s">
        <v>44</v>
      </c>
      <c r="M1149" s="1" t="s">
        <v>917</v>
      </c>
      <c r="AG1149" s="1" t="s">
        <v>124</v>
      </c>
      <c r="AH1149" s="2">
        <v>44927</v>
      </c>
      <c r="AI1149" s="2">
        <v>45291</v>
      </c>
      <c r="AJ1149" s="2">
        <v>44927</v>
      </c>
    </row>
    <row r="1150" spans="1:36">
      <c r="A1150" s="1" t="str">
        <f>"ZE83A4E36B"</f>
        <v>ZE83A4E36B</v>
      </c>
      <c r="B1150" s="1" t="str">
        <f t="shared" si="30"/>
        <v>02406911202</v>
      </c>
      <c r="C1150" s="1" t="s">
        <v>13</v>
      </c>
      <c r="D1150" s="1" t="s">
        <v>205</v>
      </c>
      <c r="E1150" s="1" t="s">
        <v>1686</v>
      </c>
      <c r="F1150" s="1" t="s">
        <v>39</v>
      </c>
      <c r="G1150" s="1" t="str">
        <f>"01692990367"</f>
        <v>01692990367</v>
      </c>
      <c r="I1150" s="1" t="s">
        <v>2521</v>
      </c>
      <c r="L1150" s="1" t="s">
        <v>44</v>
      </c>
      <c r="M1150" s="1" t="s">
        <v>917</v>
      </c>
      <c r="AG1150" s="1" t="s">
        <v>124</v>
      </c>
      <c r="AH1150" s="2">
        <v>44927</v>
      </c>
      <c r="AI1150" s="2">
        <v>45291</v>
      </c>
      <c r="AJ1150" s="2">
        <v>44927</v>
      </c>
    </row>
    <row r="1151" spans="1:36">
      <c r="A1151" s="1" t="str">
        <f>"ZD33A4E3A4"</f>
        <v>ZD33A4E3A4</v>
      </c>
      <c r="B1151" s="1" t="str">
        <f t="shared" si="30"/>
        <v>02406911202</v>
      </c>
      <c r="C1151" s="1" t="s">
        <v>13</v>
      </c>
      <c r="D1151" s="1" t="s">
        <v>205</v>
      </c>
      <c r="E1151" s="1" t="s">
        <v>1686</v>
      </c>
      <c r="F1151" s="1" t="s">
        <v>39</v>
      </c>
      <c r="G1151" s="1" t="str">
        <f>"00535641203"</f>
        <v>00535641203</v>
      </c>
      <c r="I1151" s="1" t="s">
        <v>2522</v>
      </c>
      <c r="L1151" s="1" t="s">
        <v>44</v>
      </c>
      <c r="M1151" s="1" t="s">
        <v>917</v>
      </c>
      <c r="AG1151" s="1" t="s">
        <v>124</v>
      </c>
      <c r="AH1151" s="2">
        <v>44927</v>
      </c>
      <c r="AI1151" s="2">
        <v>45291</v>
      </c>
      <c r="AJ1151" s="2">
        <v>44927</v>
      </c>
    </row>
    <row r="1152" spans="1:36">
      <c r="A1152" s="1" t="str">
        <f>"ZF83A4E3CF"</f>
        <v>ZF83A4E3CF</v>
      </c>
      <c r="B1152" s="1" t="str">
        <f t="shared" si="30"/>
        <v>02406911202</v>
      </c>
      <c r="C1152" s="1" t="s">
        <v>13</v>
      </c>
      <c r="D1152" s="1" t="s">
        <v>205</v>
      </c>
      <c r="E1152" s="1" t="s">
        <v>1686</v>
      </c>
      <c r="F1152" s="1" t="s">
        <v>39</v>
      </c>
      <c r="G1152" s="1" t="str">
        <f>"00749460341"</f>
        <v>00749460341</v>
      </c>
      <c r="I1152" s="1" t="s">
        <v>2523</v>
      </c>
      <c r="L1152" s="1" t="s">
        <v>44</v>
      </c>
      <c r="M1152" s="1" t="s">
        <v>917</v>
      </c>
      <c r="AG1152" s="1" t="s">
        <v>124</v>
      </c>
      <c r="AH1152" s="2">
        <v>44927</v>
      </c>
      <c r="AI1152" s="2">
        <v>45291</v>
      </c>
      <c r="AJ1152" s="2">
        <v>44927</v>
      </c>
    </row>
    <row r="1153" spans="1:36">
      <c r="A1153" s="1" t="str">
        <f>"ZA33A4DF87"</f>
        <v>ZA33A4DF87</v>
      </c>
      <c r="B1153" s="1" t="str">
        <f t="shared" si="30"/>
        <v>02406911202</v>
      </c>
      <c r="C1153" s="1" t="s">
        <v>13</v>
      </c>
      <c r="D1153" s="1" t="s">
        <v>205</v>
      </c>
      <c r="E1153" s="1" t="s">
        <v>1686</v>
      </c>
      <c r="F1153" s="1" t="s">
        <v>39</v>
      </c>
      <c r="G1153" s="1" t="str">
        <f>"02395320399"</f>
        <v>02395320399</v>
      </c>
      <c r="I1153" s="1" t="s">
        <v>2524</v>
      </c>
      <c r="L1153" s="1" t="s">
        <v>44</v>
      </c>
      <c r="M1153" s="1" t="s">
        <v>917</v>
      </c>
      <c r="AG1153" s="1" t="s">
        <v>2525</v>
      </c>
      <c r="AH1153" s="2">
        <v>44927</v>
      </c>
      <c r="AI1153" s="2">
        <v>45291</v>
      </c>
      <c r="AJ1153" s="2">
        <v>44927</v>
      </c>
    </row>
    <row r="1154" spans="1:36">
      <c r="A1154" s="1" t="str">
        <f>"ZCD3A4E3FC"</f>
        <v>ZCD3A4E3FC</v>
      </c>
      <c r="B1154" s="1" t="str">
        <f t="shared" si="30"/>
        <v>02406911202</v>
      </c>
      <c r="C1154" s="1" t="s">
        <v>13</v>
      </c>
      <c r="D1154" s="1" t="s">
        <v>205</v>
      </c>
      <c r="E1154" s="1" t="s">
        <v>1686</v>
      </c>
      <c r="F1154" s="1" t="s">
        <v>39</v>
      </c>
      <c r="G1154" s="1" t="str">
        <f>"01174140390"</f>
        <v>01174140390</v>
      </c>
      <c r="I1154" s="1" t="s">
        <v>2526</v>
      </c>
      <c r="L1154" s="1" t="s">
        <v>44</v>
      </c>
      <c r="M1154" s="1" t="s">
        <v>917</v>
      </c>
      <c r="AG1154" s="1" t="s">
        <v>124</v>
      </c>
      <c r="AH1154" s="2">
        <v>44927</v>
      </c>
      <c r="AI1154" s="2">
        <v>45291</v>
      </c>
      <c r="AJ1154" s="2">
        <v>44927</v>
      </c>
    </row>
    <row r="1155" spans="1:36">
      <c r="A1155" s="1" t="str">
        <f>"9686653EEB"</f>
        <v>9686653EEB</v>
      </c>
      <c r="B1155" s="1" t="str">
        <f t="shared" si="30"/>
        <v>02406911202</v>
      </c>
      <c r="C1155" s="1" t="s">
        <v>13</v>
      </c>
      <c r="D1155" s="1" t="s">
        <v>37</v>
      </c>
      <c r="E1155" s="1" t="s">
        <v>2527</v>
      </c>
      <c r="F1155" s="1" t="s">
        <v>117</v>
      </c>
      <c r="G1155" s="1" t="str">
        <f>"00777280157"</f>
        <v>00777280157</v>
      </c>
      <c r="I1155" s="1" t="s">
        <v>2528</v>
      </c>
      <c r="L1155" s="1" t="s">
        <v>44</v>
      </c>
      <c r="M1155" s="1" t="s">
        <v>774</v>
      </c>
      <c r="AG1155" s="1" t="s">
        <v>124</v>
      </c>
      <c r="AH1155" s="2">
        <v>44987</v>
      </c>
      <c r="AI1155" s="2">
        <v>45352</v>
      </c>
      <c r="AJ1155" s="2">
        <v>44987</v>
      </c>
    </row>
    <row r="1156" spans="1:36">
      <c r="A1156" s="1" t="str">
        <f>"ZD63A51579"</f>
        <v>ZD63A51579</v>
      </c>
      <c r="B1156" s="1" t="str">
        <f t="shared" si="30"/>
        <v>02406911202</v>
      </c>
      <c r="C1156" s="1" t="s">
        <v>13</v>
      </c>
      <c r="D1156" s="1" t="s">
        <v>1253</v>
      </c>
      <c r="E1156" s="1" t="s">
        <v>1254</v>
      </c>
      <c r="F1156" s="1" t="s">
        <v>49</v>
      </c>
      <c r="G1156" s="1" t="str">
        <f>"01620830347"</f>
        <v>01620830347</v>
      </c>
      <c r="I1156" s="1" t="s">
        <v>2149</v>
      </c>
      <c r="L1156" s="1" t="s">
        <v>44</v>
      </c>
      <c r="M1156" s="1" t="s">
        <v>1255</v>
      </c>
      <c r="AG1156" s="1" t="s">
        <v>2529</v>
      </c>
      <c r="AH1156" s="2">
        <v>44995</v>
      </c>
      <c r="AI1156" s="2">
        <v>45291</v>
      </c>
      <c r="AJ1156" s="2">
        <v>44995</v>
      </c>
    </row>
    <row r="1157" spans="1:36">
      <c r="A1157" s="1" t="str">
        <f>"Z353A5339D"</f>
        <v>Z353A5339D</v>
      </c>
      <c r="B1157" s="1" t="str">
        <f t="shared" si="30"/>
        <v>02406911202</v>
      </c>
      <c r="C1157" s="1" t="s">
        <v>13</v>
      </c>
      <c r="D1157" s="1" t="s">
        <v>1253</v>
      </c>
      <c r="E1157" s="1" t="s">
        <v>2530</v>
      </c>
      <c r="F1157" s="1" t="s">
        <v>49</v>
      </c>
      <c r="G1157" s="1" t="str">
        <f>"03353370160"</f>
        <v>03353370160</v>
      </c>
      <c r="I1157" s="1" t="s">
        <v>1337</v>
      </c>
      <c r="L1157" s="1" t="s">
        <v>44</v>
      </c>
      <c r="M1157" s="1" t="s">
        <v>1255</v>
      </c>
      <c r="AG1157" s="1" t="s">
        <v>2531</v>
      </c>
      <c r="AH1157" s="2">
        <v>44995</v>
      </c>
      <c r="AI1157" s="2">
        <v>45291</v>
      </c>
      <c r="AJ1157" s="2">
        <v>44995</v>
      </c>
    </row>
    <row r="1158" spans="1:36">
      <c r="A1158" s="1" t="str">
        <f>"9664450C6D"</f>
        <v>9664450C6D</v>
      </c>
      <c r="B1158" s="1" t="str">
        <f t="shared" ref="B1158:B1221" si="31">"02406911202"</f>
        <v>02406911202</v>
      </c>
      <c r="C1158" s="1" t="s">
        <v>13</v>
      </c>
      <c r="D1158" s="1" t="s">
        <v>37</v>
      </c>
      <c r="E1158" s="1" t="s">
        <v>2532</v>
      </c>
      <c r="F1158" s="1" t="s">
        <v>39</v>
      </c>
      <c r="G1158" s="1" t="str">
        <f>"06814140965"</f>
        <v>06814140965</v>
      </c>
      <c r="I1158" s="1" t="s">
        <v>550</v>
      </c>
      <c r="L1158" s="1" t="s">
        <v>44</v>
      </c>
      <c r="M1158" s="1" t="s">
        <v>2533</v>
      </c>
      <c r="AG1158" s="1" t="s">
        <v>124</v>
      </c>
      <c r="AH1158" s="2">
        <v>44995</v>
      </c>
      <c r="AI1158" s="2">
        <v>45725</v>
      </c>
      <c r="AJ1158" s="2">
        <v>44995</v>
      </c>
    </row>
    <row r="1159" spans="1:36">
      <c r="A1159" s="1" t="str">
        <f>"Z273A53AA0"</f>
        <v>Z273A53AA0</v>
      </c>
      <c r="B1159" s="1" t="str">
        <f t="shared" si="31"/>
        <v>02406911202</v>
      </c>
      <c r="C1159" s="1" t="s">
        <v>13</v>
      </c>
      <c r="D1159" s="1" t="s">
        <v>205</v>
      </c>
      <c r="E1159" s="1" t="s">
        <v>2534</v>
      </c>
      <c r="F1159" s="1" t="s">
        <v>49</v>
      </c>
      <c r="G1159" s="1" t="str">
        <f>"03232081202"</f>
        <v>03232081202</v>
      </c>
      <c r="I1159" s="1" t="s">
        <v>2535</v>
      </c>
      <c r="L1159" s="1" t="s">
        <v>44</v>
      </c>
      <c r="M1159" s="1" t="s">
        <v>2536</v>
      </c>
      <c r="AG1159" s="1" t="s">
        <v>124</v>
      </c>
      <c r="AH1159" s="2">
        <v>44927</v>
      </c>
      <c r="AI1159" s="2">
        <v>45291</v>
      </c>
      <c r="AJ1159" s="2">
        <v>44927</v>
      </c>
    </row>
    <row r="1160" spans="1:36">
      <c r="A1160" s="1" t="str">
        <f>"ZCB39C4F32"</f>
        <v>ZCB39C4F32</v>
      </c>
      <c r="B1160" s="1" t="str">
        <f t="shared" si="31"/>
        <v>02406911202</v>
      </c>
      <c r="C1160" s="1" t="s">
        <v>13</v>
      </c>
      <c r="D1160" s="1" t="s">
        <v>205</v>
      </c>
      <c r="E1160" s="1" t="s">
        <v>1686</v>
      </c>
      <c r="F1160" s="1" t="s">
        <v>39</v>
      </c>
      <c r="G1160" s="1" t="str">
        <f>"01148190547"</f>
        <v>01148190547</v>
      </c>
      <c r="I1160" s="1" t="s">
        <v>2537</v>
      </c>
      <c r="L1160" s="1" t="s">
        <v>44</v>
      </c>
      <c r="M1160" s="1" t="s">
        <v>2538</v>
      </c>
      <c r="AG1160" s="1" t="s">
        <v>2539</v>
      </c>
      <c r="AH1160" s="2">
        <v>44927</v>
      </c>
      <c r="AI1160" s="2">
        <v>45291</v>
      </c>
      <c r="AJ1160" s="2">
        <v>44927</v>
      </c>
    </row>
    <row r="1161" spans="1:36">
      <c r="A1161" s="1" t="str">
        <f>"Z9339C4FCA"</f>
        <v>Z9339C4FCA</v>
      </c>
      <c r="B1161" s="1" t="str">
        <f t="shared" si="31"/>
        <v>02406911202</v>
      </c>
      <c r="C1161" s="1" t="s">
        <v>13</v>
      </c>
      <c r="D1161" s="1" t="s">
        <v>205</v>
      </c>
      <c r="E1161" s="1" t="s">
        <v>1686</v>
      </c>
      <c r="F1161" s="1" t="s">
        <v>39</v>
      </c>
      <c r="G1161" s="1" t="str">
        <f>"02371460342"</f>
        <v>02371460342</v>
      </c>
      <c r="I1161" s="1" t="s">
        <v>2540</v>
      </c>
      <c r="L1161" s="1" t="s">
        <v>44</v>
      </c>
      <c r="M1161" s="1" t="s">
        <v>756</v>
      </c>
      <c r="AG1161" s="1" t="s">
        <v>2541</v>
      </c>
      <c r="AH1161" s="2">
        <v>44927</v>
      </c>
      <c r="AI1161" s="2">
        <v>45291</v>
      </c>
      <c r="AJ1161" s="2">
        <v>44927</v>
      </c>
    </row>
    <row r="1162" spans="1:36">
      <c r="A1162" s="1" t="str">
        <f>"ZAE39C8EF4"</f>
        <v>ZAE39C8EF4</v>
      </c>
      <c r="B1162" s="1" t="str">
        <f t="shared" si="31"/>
        <v>02406911202</v>
      </c>
      <c r="C1162" s="1" t="s">
        <v>13</v>
      </c>
      <c r="D1162" s="1" t="s">
        <v>205</v>
      </c>
      <c r="E1162" s="1" t="s">
        <v>1686</v>
      </c>
      <c r="F1162" s="1" t="s">
        <v>39</v>
      </c>
      <c r="G1162" s="1" t="str">
        <f>"00418870366"</f>
        <v>00418870366</v>
      </c>
      <c r="I1162" s="1" t="s">
        <v>2542</v>
      </c>
      <c r="L1162" s="1" t="s">
        <v>44</v>
      </c>
      <c r="M1162" s="1" t="s">
        <v>2543</v>
      </c>
      <c r="AG1162" s="1" t="s">
        <v>2544</v>
      </c>
      <c r="AH1162" s="2">
        <v>44927</v>
      </c>
      <c r="AI1162" s="2">
        <v>45291</v>
      </c>
      <c r="AJ1162" s="2">
        <v>44927</v>
      </c>
    </row>
    <row r="1163" spans="1:36">
      <c r="A1163" s="1" t="str">
        <f>"Z1239C8F11"</f>
        <v>Z1239C8F11</v>
      </c>
      <c r="B1163" s="1" t="str">
        <f t="shared" si="31"/>
        <v>02406911202</v>
      </c>
      <c r="C1163" s="1" t="s">
        <v>13</v>
      </c>
      <c r="D1163" s="1" t="s">
        <v>205</v>
      </c>
      <c r="E1163" s="1" t="s">
        <v>1686</v>
      </c>
      <c r="F1163" s="1" t="s">
        <v>39</v>
      </c>
      <c r="G1163" s="1" t="str">
        <f>"00205800386"</f>
        <v>00205800386</v>
      </c>
      <c r="I1163" s="1" t="s">
        <v>2545</v>
      </c>
      <c r="L1163" s="1" t="s">
        <v>44</v>
      </c>
      <c r="M1163" s="1" t="s">
        <v>2546</v>
      </c>
      <c r="AG1163" s="1" t="s">
        <v>2547</v>
      </c>
      <c r="AH1163" s="2">
        <v>44927</v>
      </c>
      <c r="AI1163" s="2">
        <v>45291</v>
      </c>
      <c r="AJ1163" s="2">
        <v>44927</v>
      </c>
    </row>
    <row r="1164" spans="1:36">
      <c r="A1164" s="1" t="str">
        <f>"Z0F39C8F3D"</f>
        <v>Z0F39C8F3D</v>
      </c>
      <c r="B1164" s="1" t="str">
        <f t="shared" si="31"/>
        <v>02406911202</v>
      </c>
      <c r="C1164" s="1" t="s">
        <v>13</v>
      </c>
      <c r="D1164" s="1" t="s">
        <v>205</v>
      </c>
      <c r="E1164" s="1" t="s">
        <v>1686</v>
      </c>
      <c r="F1164" s="1" t="s">
        <v>39</v>
      </c>
      <c r="G1164" s="1" t="str">
        <f>"00257490383"</f>
        <v>00257490383</v>
      </c>
      <c r="I1164" s="1" t="s">
        <v>2548</v>
      </c>
      <c r="L1164" s="1" t="s">
        <v>44</v>
      </c>
      <c r="M1164" s="1" t="s">
        <v>2549</v>
      </c>
      <c r="AG1164" s="1" t="s">
        <v>2550</v>
      </c>
      <c r="AH1164" s="2">
        <v>44927</v>
      </c>
      <c r="AI1164" s="2">
        <v>45291</v>
      </c>
      <c r="AJ1164" s="2">
        <v>44927</v>
      </c>
    </row>
    <row r="1165" spans="1:36">
      <c r="A1165" s="1" t="str">
        <f>"Z0239CAF08"</f>
        <v>Z0239CAF08</v>
      </c>
      <c r="B1165" s="1" t="str">
        <f t="shared" si="31"/>
        <v>02406911202</v>
      </c>
      <c r="C1165" s="1" t="s">
        <v>13</v>
      </c>
      <c r="D1165" s="1" t="s">
        <v>1253</v>
      </c>
      <c r="E1165" s="1" t="s">
        <v>1270</v>
      </c>
      <c r="F1165" s="1" t="s">
        <v>49</v>
      </c>
      <c r="G1165" s="1" t="str">
        <f>"10220860158"</f>
        <v>10220860158</v>
      </c>
      <c r="I1165" s="1" t="s">
        <v>1375</v>
      </c>
      <c r="L1165" s="1" t="s">
        <v>44</v>
      </c>
      <c r="M1165" s="1" t="s">
        <v>1255</v>
      </c>
      <c r="AG1165" s="1" t="s">
        <v>2551</v>
      </c>
      <c r="AH1165" s="2">
        <v>44959</v>
      </c>
      <c r="AI1165" s="2">
        <v>45291</v>
      </c>
      <c r="AJ1165" s="2">
        <v>44959</v>
      </c>
    </row>
    <row r="1166" spans="1:36">
      <c r="A1166" s="1" t="str">
        <f>"ZDE39CB562"</f>
        <v>ZDE39CB562</v>
      </c>
      <c r="B1166" s="1" t="str">
        <f t="shared" si="31"/>
        <v>02406911202</v>
      </c>
      <c r="C1166" s="1" t="s">
        <v>13</v>
      </c>
      <c r="D1166" s="1" t="s">
        <v>1253</v>
      </c>
      <c r="E1166" s="1" t="s">
        <v>1317</v>
      </c>
      <c r="F1166" s="1" t="s">
        <v>49</v>
      </c>
      <c r="G1166" s="1" t="str">
        <f>"04156880371"</f>
        <v>04156880371</v>
      </c>
      <c r="I1166" s="1" t="s">
        <v>1307</v>
      </c>
      <c r="L1166" s="1" t="s">
        <v>44</v>
      </c>
      <c r="M1166" s="1" t="s">
        <v>1255</v>
      </c>
      <c r="AG1166" s="1" t="s">
        <v>2552</v>
      </c>
      <c r="AH1166" s="2">
        <v>44960</v>
      </c>
      <c r="AI1166" s="2">
        <v>45291</v>
      </c>
      <c r="AJ1166" s="2">
        <v>44960</v>
      </c>
    </row>
    <row r="1167" spans="1:36">
      <c r="A1167" s="1" t="str">
        <f>"Z7C39CCFEA"</f>
        <v>Z7C39CCFEA</v>
      </c>
      <c r="B1167" s="1" t="str">
        <f t="shared" si="31"/>
        <v>02406911202</v>
      </c>
      <c r="C1167" s="1" t="s">
        <v>13</v>
      </c>
      <c r="D1167" s="1" t="s">
        <v>1253</v>
      </c>
      <c r="E1167" s="1" t="s">
        <v>1270</v>
      </c>
      <c r="F1167" s="1" t="s">
        <v>49</v>
      </c>
      <c r="G1167" s="1" t="str">
        <f>"10926940965"</f>
        <v>10926940965</v>
      </c>
      <c r="I1167" s="1" t="s">
        <v>1822</v>
      </c>
      <c r="L1167" s="1" t="s">
        <v>44</v>
      </c>
      <c r="M1167" s="1" t="s">
        <v>1255</v>
      </c>
      <c r="AG1167" s="1" t="s">
        <v>2553</v>
      </c>
      <c r="AH1167" s="2">
        <v>44960</v>
      </c>
      <c r="AI1167" s="2">
        <v>45291</v>
      </c>
      <c r="AJ1167" s="2">
        <v>44960</v>
      </c>
    </row>
    <row r="1168" spans="1:36">
      <c r="A1168" s="1" t="str">
        <f>"Z8B39CD6E6"</f>
        <v>Z8B39CD6E6</v>
      </c>
      <c r="B1168" s="1" t="str">
        <f t="shared" si="31"/>
        <v>02406911202</v>
      </c>
      <c r="C1168" s="1" t="s">
        <v>13</v>
      </c>
      <c r="D1168" s="1" t="s">
        <v>1253</v>
      </c>
      <c r="E1168" s="1" t="s">
        <v>1270</v>
      </c>
      <c r="F1168" s="1" t="s">
        <v>49</v>
      </c>
      <c r="G1168" s="1" t="str">
        <f>"10926940965"</f>
        <v>10926940965</v>
      </c>
      <c r="I1168" s="1" t="s">
        <v>1822</v>
      </c>
      <c r="L1168" s="1" t="s">
        <v>44</v>
      </c>
      <c r="M1168" s="1" t="s">
        <v>1255</v>
      </c>
      <c r="AG1168" s="1" t="s">
        <v>124</v>
      </c>
      <c r="AH1168" s="2">
        <v>44960</v>
      </c>
      <c r="AI1168" s="2">
        <v>45291</v>
      </c>
      <c r="AJ1168" s="2">
        <v>44960</v>
      </c>
    </row>
    <row r="1169" spans="1:36">
      <c r="A1169" s="1" t="str">
        <f>"Z8039CEB77"</f>
        <v>Z8039CEB77</v>
      </c>
      <c r="B1169" s="1" t="str">
        <f t="shared" si="31"/>
        <v>02406911202</v>
      </c>
      <c r="C1169" s="1" t="s">
        <v>13</v>
      </c>
      <c r="D1169" s="1" t="s">
        <v>1257</v>
      </c>
      <c r="E1169" s="1" t="s">
        <v>2554</v>
      </c>
      <c r="F1169" s="1" t="s">
        <v>49</v>
      </c>
      <c r="G1169" s="1" t="str">
        <f>"08817300158"</f>
        <v>08817300158</v>
      </c>
      <c r="I1169" s="1" t="s">
        <v>2555</v>
      </c>
      <c r="L1169" s="1" t="s">
        <v>44</v>
      </c>
      <c r="M1169" s="1" t="s">
        <v>103</v>
      </c>
      <c r="AG1169" s="1" t="s">
        <v>2556</v>
      </c>
      <c r="AH1169" s="2">
        <v>44960</v>
      </c>
      <c r="AI1169" s="2">
        <v>45291</v>
      </c>
      <c r="AJ1169" s="2">
        <v>44960</v>
      </c>
    </row>
    <row r="1170" spans="1:36">
      <c r="A1170" s="1" t="str">
        <f>"ZCF3A46BED"</f>
        <v>ZCF3A46BED</v>
      </c>
      <c r="B1170" s="1" t="str">
        <f t="shared" si="31"/>
        <v>02406911202</v>
      </c>
      <c r="C1170" s="1" t="s">
        <v>13</v>
      </c>
      <c r="D1170" s="1" t="s">
        <v>205</v>
      </c>
      <c r="E1170" s="1" t="s">
        <v>2557</v>
      </c>
      <c r="F1170" s="1" t="s">
        <v>49</v>
      </c>
      <c r="G1170" s="1" t="str">
        <f>"02363141207"</f>
        <v>02363141207</v>
      </c>
      <c r="I1170" s="1" t="s">
        <v>2558</v>
      </c>
      <c r="L1170" s="1" t="s">
        <v>44</v>
      </c>
      <c r="M1170" s="1" t="s">
        <v>2559</v>
      </c>
      <c r="AG1170" s="1" t="s">
        <v>2560</v>
      </c>
      <c r="AH1170" s="2">
        <v>44927</v>
      </c>
      <c r="AI1170" s="2">
        <v>45291</v>
      </c>
      <c r="AJ1170" s="2">
        <v>44927</v>
      </c>
    </row>
    <row r="1171" spans="1:36">
      <c r="A1171" s="1" t="str">
        <f>"Z343A4B3E2"</f>
        <v>Z343A4B3E2</v>
      </c>
      <c r="B1171" s="1" t="str">
        <f t="shared" si="31"/>
        <v>02406911202</v>
      </c>
      <c r="C1171" s="1" t="s">
        <v>13</v>
      </c>
      <c r="D1171" s="1" t="s">
        <v>1312</v>
      </c>
      <c r="E1171" s="1" t="s">
        <v>2561</v>
      </c>
      <c r="F1171" s="1" t="s">
        <v>49</v>
      </c>
      <c r="G1171" s="1" t="str">
        <f>"07435060152"</f>
        <v>07435060152</v>
      </c>
      <c r="I1171" s="1" t="s">
        <v>359</v>
      </c>
      <c r="L1171" s="1" t="s">
        <v>44</v>
      </c>
      <c r="M1171" s="1" t="s">
        <v>1314</v>
      </c>
      <c r="AG1171" s="1" t="s">
        <v>2562</v>
      </c>
      <c r="AH1171" s="2">
        <v>44994</v>
      </c>
      <c r="AI1171" s="2">
        <v>45046</v>
      </c>
      <c r="AJ1171" s="2">
        <v>44994</v>
      </c>
    </row>
    <row r="1172" spans="1:36">
      <c r="A1172" s="1" t="str">
        <f>"Z173A53B37"</f>
        <v>Z173A53B37</v>
      </c>
      <c r="B1172" s="1" t="str">
        <f t="shared" si="31"/>
        <v>02406911202</v>
      </c>
      <c r="C1172" s="1" t="s">
        <v>13</v>
      </c>
      <c r="D1172" s="1" t="s">
        <v>205</v>
      </c>
      <c r="E1172" s="1" t="s">
        <v>2563</v>
      </c>
      <c r="F1172" s="1" t="s">
        <v>49</v>
      </c>
      <c r="G1172" s="1" t="str">
        <f>"00654080076"</f>
        <v>00654080076</v>
      </c>
      <c r="I1172" s="1" t="s">
        <v>2564</v>
      </c>
      <c r="L1172" s="1" t="s">
        <v>44</v>
      </c>
      <c r="M1172" s="1" t="s">
        <v>2565</v>
      </c>
      <c r="AG1172" s="1" t="s">
        <v>2566</v>
      </c>
      <c r="AH1172" s="2">
        <v>45000</v>
      </c>
      <c r="AI1172" s="2">
        <v>45365</v>
      </c>
      <c r="AJ1172" s="2">
        <v>45000</v>
      </c>
    </row>
    <row r="1173" spans="1:36">
      <c r="A1173" s="1" t="str">
        <f>"9678083EBB"</f>
        <v>9678083EBB</v>
      </c>
      <c r="B1173" s="1" t="str">
        <f t="shared" si="31"/>
        <v>02406911202</v>
      </c>
      <c r="C1173" s="1" t="s">
        <v>13</v>
      </c>
      <c r="D1173" s="1" t="s">
        <v>1312</v>
      </c>
      <c r="E1173" s="1" t="s">
        <v>2567</v>
      </c>
      <c r="F1173" s="1" t="s">
        <v>49</v>
      </c>
      <c r="G1173" s="1" t="str">
        <f>"01847901202"</f>
        <v>01847901202</v>
      </c>
      <c r="I1173" s="1" t="s">
        <v>1612</v>
      </c>
      <c r="L1173" s="1" t="s">
        <v>44</v>
      </c>
      <c r="M1173" s="1" t="s">
        <v>2400</v>
      </c>
      <c r="AG1173" s="1" t="s">
        <v>2568</v>
      </c>
      <c r="AH1173" s="2">
        <v>44998</v>
      </c>
      <c r="AI1173" s="2">
        <v>45382</v>
      </c>
      <c r="AJ1173" s="2">
        <v>44998</v>
      </c>
    </row>
    <row r="1174" spans="1:36">
      <c r="A1174" s="1" t="str">
        <f>"ZED3A55D5D"</f>
        <v>ZED3A55D5D</v>
      </c>
      <c r="B1174" s="1" t="str">
        <f t="shared" si="31"/>
        <v>02406911202</v>
      </c>
      <c r="C1174" s="1" t="s">
        <v>13</v>
      </c>
      <c r="D1174" s="1" t="s">
        <v>1312</v>
      </c>
      <c r="E1174" s="1" t="s">
        <v>2569</v>
      </c>
      <c r="F1174" s="1" t="s">
        <v>49</v>
      </c>
      <c r="G1174" s="1" t="str">
        <f>"02466270127"</f>
        <v>02466270127</v>
      </c>
      <c r="I1174" s="1" t="s">
        <v>2570</v>
      </c>
      <c r="L1174" s="1" t="s">
        <v>44</v>
      </c>
      <c r="M1174" s="1" t="s">
        <v>1314</v>
      </c>
      <c r="AG1174" s="1" t="s">
        <v>2571</v>
      </c>
      <c r="AH1174" s="2">
        <v>44998</v>
      </c>
      <c r="AI1174" s="2">
        <v>46022</v>
      </c>
      <c r="AJ1174" s="2">
        <v>44998</v>
      </c>
    </row>
    <row r="1175" spans="1:36">
      <c r="A1175" s="1" t="str">
        <f>"96948760C5"</f>
        <v>96948760C5</v>
      </c>
      <c r="B1175" s="1" t="str">
        <f t="shared" si="31"/>
        <v>02406911202</v>
      </c>
      <c r="C1175" s="1" t="s">
        <v>13</v>
      </c>
      <c r="D1175" s="1" t="s">
        <v>1312</v>
      </c>
      <c r="E1175" s="1" t="s">
        <v>2572</v>
      </c>
      <c r="F1175" s="1" t="s">
        <v>49</v>
      </c>
      <c r="G1175" s="1" t="str">
        <f>"03096071208"</f>
        <v>03096071208</v>
      </c>
      <c r="I1175" s="1" t="s">
        <v>2078</v>
      </c>
      <c r="L1175" s="1" t="s">
        <v>44</v>
      </c>
      <c r="M1175" s="1" t="s">
        <v>2573</v>
      </c>
      <c r="AG1175" s="1" t="s">
        <v>2574</v>
      </c>
      <c r="AH1175" s="2">
        <v>45017</v>
      </c>
      <c r="AI1175" s="2">
        <v>45382</v>
      </c>
      <c r="AJ1175" s="2">
        <v>45017</v>
      </c>
    </row>
    <row r="1176" spans="1:36">
      <c r="A1176" s="1" t="str">
        <f>"Z6B3A51511"</f>
        <v>Z6B3A51511</v>
      </c>
      <c r="B1176" s="1" t="str">
        <f t="shared" si="31"/>
        <v>02406911202</v>
      </c>
      <c r="C1176" s="1" t="s">
        <v>13</v>
      </c>
      <c r="D1176" s="1" t="s">
        <v>1741</v>
      </c>
      <c r="E1176" s="1" t="s">
        <v>2575</v>
      </c>
      <c r="F1176" s="1" t="s">
        <v>49</v>
      </c>
      <c r="G1176" s="1" t="str">
        <f>"01377000391"</f>
        <v>01377000391</v>
      </c>
      <c r="I1176" s="1" t="s">
        <v>2576</v>
      </c>
      <c r="L1176" s="1" t="s">
        <v>44</v>
      </c>
      <c r="M1176" s="1" t="s">
        <v>2577</v>
      </c>
      <c r="AG1176" s="1" t="s">
        <v>2577</v>
      </c>
      <c r="AH1176" s="2">
        <v>44995</v>
      </c>
      <c r="AI1176" s="2">
        <v>45016</v>
      </c>
      <c r="AJ1176" s="2">
        <v>44995</v>
      </c>
    </row>
    <row r="1177" spans="1:36">
      <c r="A1177" s="1" t="str">
        <f>"ZDA3A56016"</f>
        <v>ZDA3A56016</v>
      </c>
      <c r="B1177" s="1" t="str">
        <f t="shared" si="31"/>
        <v>02406911202</v>
      </c>
      <c r="C1177" s="1" t="s">
        <v>13</v>
      </c>
      <c r="D1177" s="1" t="s">
        <v>1253</v>
      </c>
      <c r="E1177" s="1" t="s">
        <v>1387</v>
      </c>
      <c r="F1177" s="1" t="s">
        <v>49</v>
      </c>
      <c r="G1177" s="1" t="str">
        <f>"13445820155"</f>
        <v>13445820155</v>
      </c>
      <c r="I1177" s="1" t="s">
        <v>1909</v>
      </c>
      <c r="L1177" s="1" t="s">
        <v>44</v>
      </c>
      <c r="M1177" s="1" t="s">
        <v>1255</v>
      </c>
      <c r="AG1177" s="1" t="s">
        <v>2578</v>
      </c>
      <c r="AH1177" s="2">
        <v>44998</v>
      </c>
      <c r="AI1177" s="2">
        <v>45291</v>
      </c>
      <c r="AJ1177" s="2">
        <v>44998</v>
      </c>
    </row>
    <row r="1178" spans="1:36">
      <c r="A1178" s="1" t="str">
        <f>"Z903A58502"</f>
        <v>Z903A58502</v>
      </c>
      <c r="B1178" s="1" t="str">
        <f t="shared" si="31"/>
        <v>02406911202</v>
      </c>
      <c r="C1178" s="1" t="s">
        <v>13</v>
      </c>
      <c r="D1178" s="1" t="s">
        <v>1253</v>
      </c>
      <c r="E1178" s="1" t="s">
        <v>1262</v>
      </c>
      <c r="F1178" s="1" t="s">
        <v>49</v>
      </c>
      <c r="G1178" s="1" t="str">
        <f>"11607280010"</f>
        <v>11607280010</v>
      </c>
      <c r="I1178" s="1" t="s">
        <v>2117</v>
      </c>
      <c r="L1178" s="1" t="s">
        <v>44</v>
      </c>
      <c r="M1178" s="1" t="s">
        <v>153</v>
      </c>
      <c r="AG1178" s="1" t="s">
        <v>2579</v>
      </c>
      <c r="AH1178" s="2">
        <v>44998</v>
      </c>
      <c r="AI1178" s="2">
        <v>45291</v>
      </c>
      <c r="AJ1178" s="2">
        <v>44998</v>
      </c>
    </row>
    <row r="1179" spans="1:36">
      <c r="A1179" s="1" t="str">
        <f>"ZF13A5A218"</f>
        <v>ZF13A5A218</v>
      </c>
      <c r="B1179" s="1" t="str">
        <f t="shared" si="31"/>
        <v>02406911202</v>
      </c>
      <c r="C1179" s="1" t="s">
        <v>13</v>
      </c>
      <c r="D1179" s="1" t="s">
        <v>1257</v>
      </c>
      <c r="E1179" s="1" t="s">
        <v>2580</v>
      </c>
      <c r="F1179" s="1" t="s">
        <v>49</v>
      </c>
      <c r="G1179" s="1" t="str">
        <f>"07904840159"</f>
        <v>07904840159</v>
      </c>
      <c r="I1179" s="1" t="s">
        <v>2581</v>
      </c>
      <c r="L1179" s="1" t="s">
        <v>44</v>
      </c>
      <c r="M1179" s="1" t="s">
        <v>946</v>
      </c>
      <c r="AG1179" s="1" t="s">
        <v>2582</v>
      </c>
      <c r="AH1179" s="2">
        <v>44999</v>
      </c>
      <c r="AI1179" s="2">
        <v>45291</v>
      </c>
      <c r="AJ1179" s="2">
        <v>44999</v>
      </c>
    </row>
    <row r="1180" spans="1:36">
      <c r="A1180" s="1" t="str">
        <f>"Z5F3992A89"</f>
        <v>Z5F3992A89</v>
      </c>
      <c r="B1180" s="1" t="str">
        <f t="shared" si="31"/>
        <v>02406911202</v>
      </c>
      <c r="C1180" s="1" t="s">
        <v>13</v>
      </c>
      <c r="D1180" s="1" t="s">
        <v>1253</v>
      </c>
      <c r="E1180" s="1" t="s">
        <v>1254</v>
      </c>
      <c r="F1180" s="1" t="s">
        <v>49</v>
      </c>
      <c r="G1180" s="1" t="str">
        <f>"00674840152"</f>
        <v>00674840152</v>
      </c>
      <c r="I1180" s="1" t="s">
        <v>190</v>
      </c>
      <c r="L1180" s="1" t="s">
        <v>44</v>
      </c>
      <c r="M1180" s="1" t="s">
        <v>1255</v>
      </c>
      <c r="AG1180" s="1" t="s">
        <v>2583</v>
      </c>
      <c r="AH1180" s="2">
        <v>44945</v>
      </c>
      <c r="AI1180" s="2">
        <v>45291</v>
      </c>
      <c r="AJ1180" s="2">
        <v>44945</v>
      </c>
    </row>
    <row r="1181" spans="1:36">
      <c r="A1181" s="1" t="str">
        <f>"Z803992D8C"</f>
        <v>Z803992D8C</v>
      </c>
      <c r="B1181" s="1" t="str">
        <f t="shared" si="31"/>
        <v>02406911202</v>
      </c>
      <c r="C1181" s="1" t="s">
        <v>13</v>
      </c>
      <c r="D1181" s="1" t="s">
        <v>1257</v>
      </c>
      <c r="E1181" s="1" t="s">
        <v>2584</v>
      </c>
      <c r="F1181" s="1" t="s">
        <v>49</v>
      </c>
      <c r="G1181" s="1" t="str">
        <f>"03804171209"</f>
        <v>03804171209</v>
      </c>
      <c r="I1181" s="1" t="s">
        <v>2585</v>
      </c>
      <c r="L1181" s="1" t="s">
        <v>44</v>
      </c>
      <c r="M1181" s="1" t="s">
        <v>946</v>
      </c>
      <c r="AG1181" s="1" t="s">
        <v>2586</v>
      </c>
      <c r="AH1181" s="2">
        <v>44945</v>
      </c>
      <c r="AI1181" s="2">
        <v>45291</v>
      </c>
      <c r="AJ1181" s="2">
        <v>44945</v>
      </c>
    </row>
    <row r="1182" spans="1:36">
      <c r="A1182" s="1" t="str">
        <f>"9641403174"</f>
        <v>9641403174</v>
      </c>
      <c r="B1182" s="1" t="str">
        <f t="shared" si="31"/>
        <v>02406911202</v>
      </c>
      <c r="C1182" s="1" t="s">
        <v>13</v>
      </c>
      <c r="D1182" s="1" t="s">
        <v>37</v>
      </c>
      <c r="E1182" s="1" t="s">
        <v>2587</v>
      </c>
      <c r="F1182" s="1" t="s">
        <v>117</v>
      </c>
      <c r="G1182" s="1" t="str">
        <f>"11846301007"</f>
        <v>11846301007</v>
      </c>
      <c r="I1182" s="1" t="s">
        <v>784</v>
      </c>
      <c r="L1182" s="1" t="s">
        <v>44</v>
      </c>
      <c r="M1182" s="1" t="s">
        <v>2588</v>
      </c>
      <c r="AG1182" s="1" t="s">
        <v>2589</v>
      </c>
      <c r="AH1182" s="2">
        <v>44943</v>
      </c>
      <c r="AI1182" s="2">
        <v>46022</v>
      </c>
      <c r="AJ1182" s="2">
        <v>44943</v>
      </c>
    </row>
    <row r="1183" spans="1:36">
      <c r="A1183" s="1" t="str">
        <f>"Z1039D6540"</f>
        <v>Z1039D6540</v>
      </c>
      <c r="B1183" s="1" t="str">
        <f t="shared" si="31"/>
        <v>02406911202</v>
      </c>
      <c r="C1183" s="1" t="s">
        <v>13</v>
      </c>
      <c r="D1183" s="1" t="s">
        <v>37</v>
      </c>
      <c r="E1183" s="1" t="s">
        <v>2590</v>
      </c>
      <c r="F1183" s="1" t="s">
        <v>117</v>
      </c>
      <c r="G1183" s="1" t="str">
        <f>"06058020964"</f>
        <v>06058020964</v>
      </c>
      <c r="I1183" s="1" t="s">
        <v>1265</v>
      </c>
      <c r="L1183" s="1" t="s">
        <v>44</v>
      </c>
      <c r="M1183" s="1" t="s">
        <v>2591</v>
      </c>
      <c r="AG1183" s="1" t="s">
        <v>2592</v>
      </c>
      <c r="AH1183" s="2">
        <v>44943</v>
      </c>
      <c r="AI1183" s="2">
        <v>46022</v>
      </c>
      <c r="AJ1183" s="2">
        <v>44943</v>
      </c>
    </row>
    <row r="1184" spans="1:36">
      <c r="A1184" s="1" t="str">
        <f>"Z7039E1814"</f>
        <v>Z7039E1814</v>
      </c>
      <c r="B1184" s="1" t="str">
        <f t="shared" si="31"/>
        <v>02406911202</v>
      </c>
      <c r="C1184" s="1" t="s">
        <v>13</v>
      </c>
      <c r="D1184" s="1" t="s">
        <v>1312</v>
      </c>
      <c r="E1184" s="1" t="s">
        <v>1974</v>
      </c>
      <c r="F1184" s="1" t="s">
        <v>49</v>
      </c>
      <c r="G1184" s="1" t="str">
        <f>"01820521209"</f>
        <v>01820521209</v>
      </c>
      <c r="I1184" s="1" t="s">
        <v>2593</v>
      </c>
      <c r="L1184" s="1" t="s">
        <v>44</v>
      </c>
      <c r="M1184" s="1" t="s">
        <v>2594</v>
      </c>
      <c r="AG1184" s="1" t="s">
        <v>2594</v>
      </c>
      <c r="AH1184" s="2">
        <v>44927</v>
      </c>
      <c r="AI1184" s="2">
        <v>44985</v>
      </c>
      <c r="AJ1184" s="2">
        <v>44927</v>
      </c>
    </row>
    <row r="1185" spans="1:36">
      <c r="A1185" s="1" t="str">
        <f>"96399187FC"</f>
        <v>96399187FC</v>
      </c>
      <c r="B1185" s="1" t="str">
        <f t="shared" si="31"/>
        <v>02406911202</v>
      </c>
      <c r="C1185" s="1" t="s">
        <v>13</v>
      </c>
      <c r="D1185" s="1" t="s">
        <v>37</v>
      </c>
      <c r="E1185" s="1" t="s">
        <v>2595</v>
      </c>
      <c r="F1185" s="1" t="s">
        <v>39</v>
      </c>
      <c r="G1185" s="1" t="str">
        <f>"12268050155"</f>
        <v>12268050155</v>
      </c>
      <c r="I1185" s="1" t="s">
        <v>2596</v>
      </c>
      <c r="L1185" s="1" t="s">
        <v>44</v>
      </c>
      <c r="M1185" s="1" t="s">
        <v>2597</v>
      </c>
      <c r="AG1185" s="1" t="s">
        <v>2597</v>
      </c>
      <c r="AH1185" s="2">
        <v>44966</v>
      </c>
      <c r="AI1185" s="2">
        <v>45085</v>
      </c>
      <c r="AJ1185" s="2">
        <v>44966</v>
      </c>
    </row>
    <row r="1186" spans="1:36">
      <c r="A1186" s="1" t="str">
        <f>"Z4539E193C"</f>
        <v>Z4539E193C</v>
      </c>
      <c r="B1186" s="1" t="str">
        <f t="shared" si="31"/>
        <v>02406911202</v>
      </c>
      <c r="C1186" s="1" t="s">
        <v>13</v>
      </c>
      <c r="D1186" s="1" t="s">
        <v>1253</v>
      </c>
      <c r="E1186" s="1" t="s">
        <v>1270</v>
      </c>
      <c r="F1186" s="1" t="s">
        <v>49</v>
      </c>
      <c r="G1186" s="1" t="str">
        <f>"00076670595"</f>
        <v>00076670595</v>
      </c>
      <c r="I1186" s="1" t="s">
        <v>133</v>
      </c>
      <c r="L1186" s="1" t="s">
        <v>44</v>
      </c>
      <c r="M1186" s="1" t="s">
        <v>153</v>
      </c>
      <c r="AG1186" s="1" t="s">
        <v>2598</v>
      </c>
      <c r="AH1186" s="2">
        <v>44966</v>
      </c>
      <c r="AI1186" s="2">
        <v>44966</v>
      </c>
      <c r="AJ1186" s="2">
        <v>44966</v>
      </c>
    </row>
    <row r="1187" spans="1:36">
      <c r="A1187" s="1" t="str">
        <f>"ZCA3A0E77D"</f>
        <v>ZCA3A0E77D</v>
      </c>
      <c r="B1187" s="1" t="str">
        <f t="shared" si="31"/>
        <v>02406911202</v>
      </c>
      <c r="C1187" s="1" t="s">
        <v>13</v>
      </c>
      <c r="D1187" s="1" t="s">
        <v>205</v>
      </c>
      <c r="E1187" s="1" t="s">
        <v>1753</v>
      </c>
      <c r="F1187" s="1" t="s">
        <v>39</v>
      </c>
      <c r="G1187" s="1" t="str">
        <f>"01854771209"</f>
        <v>01854771209</v>
      </c>
      <c r="I1187" s="1" t="s">
        <v>2599</v>
      </c>
      <c r="L1187" s="1" t="s">
        <v>44</v>
      </c>
      <c r="M1187" s="1" t="s">
        <v>2600</v>
      </c>
      <c r="AG1187" s="1" t="s">
        <v>2601</v>
      </c>
      <c r="AH1187" s="2">
        <v>44927</v>
      </c>
      <c r="AI1187" s="2">
        <v>45291</v>
      </c>
      <c r="AJ1187" s="2">
        <v>44927</v>
      </c>
    </row>
    <row r="1188" spans="1:36">
      <c r="A1188" s="1" t="str">
        <f>"ZCD3A0E84C"</f>
        <v>ZCD3A0E84C</v>
      </c>
      <c r="B1188" s="1" t="str">
        <f t="shared" si="31"/>
        <v>02406911202</v>
      </c>
      <c r="C1188" s="1" t="s">
        <v>13</v>
      </c>
      <c r="D1188" s="1" t="s">
        <v>205</v>
      </c>
      <c r="E1188" s="1" t="s">
        <v>1753</v>
      </c>
      <c r="F1188" s="1" t="s">
        <v>39</v>
      </c>
      <c r="G1188" s="1" t="str">
        <f>"04130660378"</f>
        <v>04130660378</v>
      </c>
      <c r="I1188" s="1" t="s">
        <v>2602</v>
      </c>
      <c r="L1188" s="1" t="s">
        <v>44</v>
      </c>
      <c r="M1188" s="1" t="s">
        <v>2603</v>
      </c>
      <c r="AG1188" s="1" t="s">
        <v>2604</v>
      </c>
      <c r="AH1188" s="2">
        <v>44927</v>
      </c>
      <c r="AI1188" s="2">
        <v>45291</v>
      </c>
      <c r="AJ1188" s="2">
        <v>44927</v>
      </c>
    </row>
    <row r="1189" spans="1:36">
      <c r="A1189" s="1" t="str">
        <f>"ZD73A0E80D"</f>
        <v>ZD73A0E80D</v>
      </c>
      <c r="B1189" s="1" t="str">
        <f t="shared" si="31"/>
        <v>02406911202</v>
      </c>
      <c r="C1189" s="1" t="s">
        <v>13</v>
      </c>
      <c r="D1189" s="1" t="s">
        <v>205</v>
      </c>
      <c r="E1189" s="1" t="s">
        <v>1753</v>
      </c>
      <c r="F1189" s="1" t="s">
        <v>39</v>
      </c>
      <c r="G1189" s="1" t="str">
        <f>"03726990371"</f>
        <v>03726990371</v>
      </c>
      <c r="I1189" s="1" t="s">
        <v>2605</v>
      </c>
      <c r="L1189" s="1" t="s">
        <v>44</v>
      </c>
      <c r="M1189" s="1" t="s">
        <v>2606</v>
      </c>
      <c r="AG1189" s="1" t="s">
        <v>2607</v>
      </c>
      <c r="AH1189" s="2">
        <v>44927</v>
      </c>
      <c r="AI1189" s="2">
        <v>45291</v>
      </c>
      <c r="AJ1189" s="2">
        <v>44927</v>
      </c>
    </row>
    <row r="1190" spans="1:36">
      <c r="A1190" s="1" t="str">
        <f>"ZFA3A0E9A4"</f>
        <v>ZFA3A0E9A4</v>
      </c>
      <c r="B1190" s="1" t="str">
        <f t="shared" si="31"/>
        <v>02406911202</v>
      </c>
      <c r="C1190" s="1" t="s">
        <v>13</v>
      </c>
      <c r="D1190" s="1" t="s">
        <v>205</v>
      </c>
      <c r="E1190" s="1" t="s">
        <v>1753</v>
      </c>
      <c r="F1190" s="1" t="s">
        <v>39</v>
      </c>
      <c r="G1190" s="1" t="str">
        <f>"03662191208"</f>
        <v>03662191208</v>
      </c>
      <c r="I1190" s="1" t="s">
        <v>2608</v>
      </c>
      <c r="L1190" s="1" t="s">
        <v>44</v>
      </c>
      <c r="M1190" s="1" t="s">
        <v>2609</v>
      </c>
      <c r="AG1190" s="1" t="s">
        <v>2610</v>
      </c>
      <c r="AH1190" s="2">
        <v>44927</v>
      </c>
      <c r="AI1190" s="2">
        <v>45291</v>
      </c>
      <c r="AJ1190" s="2">
        <v>44927</v>
      </c>
    </row>
    <row r="1191" spans="1:36">
      <c r="A1191" s="1" t="str">
        <f>"ZF83A0E91A"</f>
        <v>ZF83A0E91A</v>
      </c>
      <c r="B1191" s="1" t="str">
        <f t="shared" si="31"/>
        <v>02406911202</v>
      </c>
      <c r="C1191" s="1" t="s">
        <v>13</v>
      </c>
      <c r="D1191" s="1" t="s">
        <v>205</v>
      </c>
      <c r="E1191" s="1" t="s">
        <v>1753</v>
      </c>
      <c r="F1191" s="1" t="s">
        <v>39</v>
      </c>
      <c r="G1191" s="1" t="str">
        <f>"00463660399"</f>
        <v>00463660399</v>
      </c>
      <c r="I1191" s="1" t="s">
        <v>2611</v>
      </c>
      <c r="L1191" s="1" t="s">
        <v>44</v>
      </c>
      <c r="M1191" s="1" t="s">
        <v>2612</v>
      </c>
      <c r="AG1191" s="1" t="s">
        <v>2613</v>
      </c>
      <c r="AH1191" s="2">
        <v>44927</v>
      </c>
      <c r="AI1191" s="2">
        <v>45291</v>
      </c>
      <c r="AJ1191" s="2">
        <v>44927</v>
      </c>
    </row>
    <row r="1192" spans="1:36">
      <c r="A1192" s="1" t="str">
        <f>"ZF63A0E890"</f>
        <v>ZF63A0E890</v>
      </c>
      <c r="B1192" s="1" t="str">
        <f t="shared" si="31"/>
        <v>02406911202</v>
      </c>
      <c r="C1192" s="1" t="s">
        <v>13</v>
      </c>
      <c r="D1192" s="1" t="s">
        <v>205</v>
      </c>
      <c r="E1192" s="1" t="s">
        <v>1753</v>
      </c>
      <c r="F1192" s="1" t="s">
        <v>39</v>
      </c>
      <c r="G1192" s="1" t="str">
        <f>"01790611204"</f>
        <v>01790611204</v>
      </c>
      <c r="I1192" s="1" t="s">
        <v>2614</v>
      </c>
      <c r="L1192" s="1" t="s">
        <v>44</v>
      </c>
      <c r="M1192" s="1" t="s">
        <v>2615</v>
      </c>
      <c r="AG1192" s="1" t="s">
        <v>2616</v>
      </c>
      <c r="AH1192" s="2">
        <v>44927</v>
      </c>
      <c r="AI1192" s="2">
        <v>45291</v>
      </c>
      <c r="AJ1192" s="2">
        <v>44927</v>
      </c>
    </row>
    <row r="1193" spans="1:36">
      <c r="A1193" s="1" t="str">
        <f>"ZF93A5151A"</f>
        <v>ZF93A5151A</v>
      </c>
      <c r="B1193" s="1" t="str">
        <f t="shared" si="31"/>
        <v>02406911202</v>
      </c>
      <c r="C1193" s="1" t="s">
        <v>13</v>
      </c>
      <c r="D1193" s="1" t="s">
        <v>1253</v>
      </c>
      <c r="E1193" s="1" t="s">
        <v>1254</v>
      </c>
      <c r="F1193" s="1" t="s">
        <v>49</v>
      </c>
      <c r="G1193" s="1" t="str">
        <f>"06068041000"</f>
        <v>06068041000</v>
      </c>
      <c r="I1193" s="1" t="s">
        <v>631</v>
      </c>
      <c r="L1193" s="1" t="s">
        <v>44</v>
      </c>
      <c r="M1193" s="1" t="s">
        <v>1255</v>
      </c>
      <c r="AG1193" s="1" t="s">
        <v>2617</v>
      </c>
      <c r="AH1193" s="2">
        <v>44995</v>
      </c>
      <c r="AI1193" s="2">
        <v>45291</v>
      </c>
      <c r="AJ1193" s="2">
        <v>44995</v>
      </c>
    </row>
    <row r="1194" spans="1:36">
      <c r="A1194" s="1" t="str">
        <f>"ZA63A51548"</f>
        <v>ZA63A51548</v>
      </c>
      <c r="B1194" s="1" t="str">
        <f t="shared" si="31"/>
        <v>02406911202</v>
      </c>
      <c r="C1194" s="1" t="s">
        <v>13</v>
      </c>
      <c r="D1194" s="1" t="s">
        <v>1253</v>
      </c>
      <c r="E1194" s="1" t="s">
        <v>1254</v>
      </c>
      <c r="F1194" s="1" t="s">
        <v>49</v>
      </c>
      <c r="G1194" s="1" t="str">
        <f>"06068041000"</f>
        <v>06068041000</v>
      </c>
      <c r="I1194" s="1" t="s">
        <v>631</v>
      </c>
      <c r="L1194" s="1" t="s">
        <v>44</v>
      </c>
      <c r="M1194" s="1" t="s">
        <v>1255</v>
      </c>
      <c r="AG1194" s="1" t="s">
        <v>2618</v>
      </c>
      <c r="AH1194" s="2">
        <v>44995</v>
      </c>
      <c r="AI1194" s="2">
        <v>45291</v>
      </c>
      <c r="AJ1194" s="2">
        <v>44995</v>
      </c>
    </row>
    <row r="1195" spans="1:36">
      <c r="A1195" s="1" t="str">
        <f>"ZA83A514D7"</f>
        <v>ZA83A514D7</v>
      </c>
      <c r="B1195" s="1" t="str">
        <f t="shared" si="31"/>
        <v>02406911202</v>
      </c>
      <c r="C1195" s="1" t="s">
        <v>13</v>
      </c>
      <c r="D1195" s="1" t="s">
        <v>1253</v>
      </c>
      <c r="E1195" s="1" t="s">
        <v>1260</v>
      </c>
      <c r="F1195" s="1" t="s">
        <v>49</v>
      </c>
      <c r="G1195" s="1" t="str">
        <f>"11408800966"</f>
        <v>11408800966</v>
      </c>
      <c r="I1195" s="1" t="s">
        <v>1930</v>
      </c>
      <c r="L1195" s="1" t="s">
        <v>44</v>
      </c>
      <c r="M1195" s="1" t="s">
        <v>1255</v>
      </c>
      <c r="AG1195" s="1" t="s">
        <v>2619</v>
      </c>
      <c r="AH1195" s="2">
        <v>44995</v>
      </c>
      <c r="AI1195" s="2">
        <v>45291</v>
      </c>
      <c r="AJ1195" s="2">
        <v>44995</v>
      </c>
    </row>
    <row r="1196" spans="1:36">
      <c r="A1196" s="1" t="str">
        <f>"9551652096"</f>
        <v>9551652096</v>
      </c>
      <c r="B1196" s="1" t="str">
        <f t="shared" si="31"/>
        <v>02406911202</v>
      </c>
      <c r="C1196" s="1" t="s">
        <v>13</v>
      </c>
      <c r="D1196" s="1" t="s">
        <v>37</v>
      </c>
      <c r="E1196" s="1" t="s">
        <v>2620</v>
      </c>
      <c r="F1196" s="1" t="s">
        <v>117</v>
      </c>
      <c r="G1196" s="1" t="str">
        <f>"10782860158"</f>
        <v>10782860158</v>
      </c>
      <c r="I1196" s="1" t="s">
        <v>1831</v>
      </c>
      <c r="L1196" s="1" t="s">
        <v>44</v>
      </c>
      <c r="M1196" s="1" t="s">
        <v>2621</v>
      </c>
      <c r="AG1196" s="1" t="s">
        <v>2622</v>
      </c>
      <c r="AH1196" s="2">
        <v>45047</v>
      </c>
      <c r="AI1196" s="2">
        <v>46873</v>
      </c>
      <c r="AJ1196" s="2">
        <v>45047</v>
      </c>
    </row>
    <row r="1197" spans="1:36">
      <c r="A1197" s="1" t="str">
        <f>"Z1B3A5C97B"</f>
        <v>Z1B3A5C97B</v>
      </c>
      <c r="B1197" s="1" t="str">
        <f t="shared" si="31"/>
        <v>02406911202</v>
      </c>
      <c r="C1197" s="1" t="s">
        <v>13</v>
      </c>
      <c r="D1197" s="1" t="s">
        <v>1312</v>
      </c>
      <c r="E1197" s="1" t="s">
        <v>2623</v>
      </c>
      <c r="F1197" s="1" t="s">
        <v>49</v>
      </c>
      <c r="G1197" s="1" t="str">
        <f>"02372680187"</f>
        <v>02372680187</v>
      </c>
      <c r="I1197" s="1" t="s">
        <v>1458</v>
      </c>
      <c r="L1197" s="1" t="s">
        <v>44</v>
      </c>
      <c r="M1197" s="1" t="s">
        <v>1735</v>
      </c>
      <c r="AG1197" s="1" t="s">
        <v>124</v>
      </c>
      <c r="AH1197" s="2">
        <v>44999</v>
      </c>
      <c r="AI1197" s="2">
        <v>45291</v>
      </c>
      <c r="AJ1197" s="2">
        <v>44999</v>
      </c>
    </row>
    <row r="1198" spans="1:36">
      <c r="A1198" s="1" t="str">
        <f>"Z813A5E9E0"</f>
        <v>Z813A5E9E0</v>
      </c>
      <c r="B1198" s="1" t="str">
        <f t="shared" si="31"/>
        <v>02406911202</v>
      </c>
      <c r="C1198" s="1" t="s">
        <v>13</v>
      </c>
      <c r="D1198" s="1" t="s">
        <v>1253</v>
      </c>
      <c r="E1198" s="1" t="s">
        <v>1260</v>
      </c>
      <c r="F1198" s="1" t="s">
        <v>49</v>
      </c>
      <c r="G1198" s="1" t="str">
        <f>"02173470127"</f>
        <v>02173470127</v>
      </c>
      <c r="I1198" s="1" t="s">
        <v>2624</v>
      </c>
      <c r="L1198" s="1" t="s">
        <v>44</v>
      </c>
      <c r="M1198" s="1" t="s">
        <v>153</v>
      </c>
      <c r="AG1198" s="1" t="s">
        <v>2625</v>
      </c>
      <c r="AH1198" s="2">
        <v>45000</v>
      </c>
      <c r="AI1198" s="2">
        <v>45291</v>
      </c>
      <c r="AJ1198" s="2">
        <v>45000</v>
      </c>
    </row>
    <row r="1199" spans="1:36">
      <c r="A1199" s="1" t="str">
        <f>"9620241A02"</f>
        <v>9620241A02</v>
      </c>
      <c r="B1199" s="1" t="str">
        <f t="shared" si="31"/>
        <v>02406911202</v>
      </c>
      <c r="C1199" s="1" t="s">
        <v>13</v>
      </c>
      <c r="D1199" s="1" t="s">
        <v>37</v>
      </c>
      <c r="E1199" s="1" t="s">
        <v>2626</v>
      </c>
      <c r="F1199" s="1" t="s">
        <v>117</v>
      </c>
      <c r="G1199" s="1" t="str">
        <f>"09302870960"</f>
        <v>09302870960</v>
      </c>
      <c r="I1199" s="1" t="s">
        <v>2627</v>
      </c>
      <c r="L1199" s="1" t="s">
        <v>44</v>
      </c>
      <c r="M1199" s="1" t="s">
        <v>2628</v>
      </c>
      <c r="AG1199" s="1" t="s">
        <v>2629</v>
      </c>
      <c r="AH1199" s="2">
        <v>44943</v>
      </c>
      <c r="AI1199" s="2">
        <v>46022</v>
      </c>
      <c r="AJ1199" s="2">
        <v>44943</v>
      </c>
    </row>
    <row r="1200" spans="1:36">
      <c r="A1200" s="1" t="str">
        <f>"ZBD39A78B8"</f>
        <v>ZBD39A78B8</v>
      </c>
      <c r="B1200" s="1" t="str">
        <f t="shared" si="31"/>
        <v>02406911202</v>
      </c>
      <c r="C1200" s="1" t="s">
        <v>13</v>
      </c>
      <c r="D1200" s="1" t="s">
        <v>1253</v>
      </c>
      <c r="E1200" s="1" t="s">
        <v>1270</v>
      </c>
      <c r="F1200" s="1" t="s">
        <v>49</v>
      </c>
      <c r="G1200" s="1" t="str">
        <f>"03222390159"</f>
        <v>03222390159</v>
      </c>
      <c r="I1200" s="1" t="s">
        <v>217</v>
      </c>
      <c r="L1200" s="1" t="s">
        <v>44</v>
      </c>
      <c r="M1200" s="1" t="s">
        <v>153</v>
      </c>
      <c r="AG1200" s="1" t="s">
        <v>2630</v>
      </c>
      <c r="AH1200" s="2">
        <v>44951</v>
      </c>
      <c r="AI1200" s="2">
        <v>45291</v>
      </c>
      <c r="AJ1200" s="2">
        <v>44951</v>
      </c>
    </row>
    <row r="1201" spans="1:36">
      <c r="A1201" s="1" t="str">
        <f>"Z0839212CA"</f>
        <v>Z0839212CA</v>
      </c>
      <c r="B1201" s="1" t="str">
        <f t="shared" si="31"/>
        <v>02406911202</v>
      </c>
      <c r="C1201" s="1" t="s">
        <v>13</v>
      </c>
      <c r="D1201" s="1" t="s">
        <v>1741</v>
      </c>
      <c r="E1201" s="1" t="s">
        <v>2631</v>
      </c>
      <c r="F1201" s="1" t="s">
        <v>39</v>
      </c>
      <c r="G1201" s="1" t="str">
        <f>"02486830223"</f>
        <v>02486830223</v>
      </c>
      <c r="I1201" s="1" t="s">
        <v>2632</v>
      </c>
      <c r="L1201" s="1" t="s">
        <v>44</v>
      </c>
      <c r="M1201" s="1" t="s">
        <v>108</v>
      </c>
      <c r="AG1201" s="1" t="s">
        <v>2633</v>
      </c>
      <c r="AH1201" s="2">
        <v>44927</v>
      </c>
      <c r="AI1201" s="2">
        <v>45291</v>
      </c>
      <c r="AJ1201" s="2">
        <v>44927</v>
      </c>
    </row>
    <row r="1202" spans="1:36">
      <c r="A1202" s="1" t="str">
        <f>"962050323A"</f>
        <v>962050323A</v>
      </c>
      <c r="B1202" s="1" t="str">
        <f t="shared" si="31"/>
        <v>02406911202</v>
      </c>
      <c r="C1202" s="1" t="s">
        <v>13</v>
      </c>
      <c r="D1202" s="1" t="s">
        <v>37</v>
      </c>
      <c r="E1202" s="1" t="s">
        <v>2634</v>
      </c>
      <c r="F1202" s="1" t="s">
        <v>117</v>
      </c>
      <c r="G1202" s="1" t="str">
        <f>"04732240967"</f>
        <v>04732240967</v>
      </c>
      <c r="I1202" s="1" t="s">
        <v>2635</v>
      </c>
      <c r="L1202" s="1" t="s">
        <v>44</v>
      </c>
      <c r="M1202" s="1" t="s">
        <v>2636</v>
      </c>
      <c r="AG1202" s="1" t="s">
        <v>2637</v>
      </c>
      <c r="AH1202" s="2">
        <v>44943</v>
      </c>
      <c r="AI1202" s="2">
        <v>46022</v>
      </c>
      <c r="AJ1202" s="2">
        <v>44943</v>
      </c>
    </row>
    <row r="1203" spans="1:36">
      <c r="A1203" s="1" t="str">
        <f>"96205633BD"</f>
        <v>96205633BD</v>
      </c>
      <c r="B1203" s="1" t="str">
        <f t="shared" si="31"/>
        <v>02406911202</v>
      </c>
      <c r="C1203" s="1" t="s">
        <v>13</v>
      </c>
      <c r="D1203" s="1" t="s">
        <v>37</v>
      </c>
      <c r="E1203" s="1" t="s">
        <v>2638</v>
      </c>
      <c r="F1203" s="1" t="s">
        <v>117</v>
      </c>
      <c r="G1203" s="1" t="str">
        <f>"11187430159"</f>
        <v>11187430159</v>
      </c>
      <c r="I1203" s="1" t="s">
        <v>460</v>
      </c>
      <c r="L1203" s="1" t="s">
        <v>44</v>
      </c>
      <c r="M1203" s="1" t="s">
        <v>2639</v>
      </c>
      <c r="AG1203" s="1" t="s">
        <v>2640</v>
      </c>
      <c r="AH1203" s="2">
        <v>44943</v>
      </c>
      <c r="AI1203" s="2">
        <v>46016</v>
      </c>
      <c r="AJ1203" s="2">
        <v>44943</v>
      </c>
    </row>
    <row r="1204" spans="1:36">
      <c r="A1204" s="1" t="str">
        <f>"9620867E98"</f>
        <v>9620867E98</v>
      </c>
      <c r="B1204" s="1" t="str">
        <f t="shared" si="31"/>
        <v>02406911202</v>
      </c>
      <c r="C1204" s="1" t="s">
        <v>13</v>
      </c>
      <c r="D1204" s="1" t="s">
        <v>37</v>
      </c>
      <c r="E1204" s="1" t="s">
        <v>2641</v>
      </c>
      <c r="F1204" s="1" t="s">
        <v>117</v>
      </c>
      <c r="G1204" s="1" t="str">
        <f>"12146481002"</f>
        <v>12146481002</v>
      </c>
      <c r="I1204" s="1" t="s">
        <v>2642</v>
      </c>
      <c r="L1204" s="1" t="s">
        <v>44</v>
      </c>
      <c r="M1204" s="1" t="s">
        <v>2643</v>
      </c>
      <c r="AG1204" s="1" t="s">
        <v>124</v>
      </c>
      <c r="AH1204" s="2">
        <v>44943</v>
      </c>
      <c r="AI1204" s="2">
        <v>46022</v>
      </c>
      <c r="AJ1204" s="2">
        <v>44943</v>
      </c>
    </row>
    <row r="1205" spans="1:36">
      <c r="A1205" s="1" t="str">
        <f>"Z9439A90F7"</f>
        <v>Z9439A90F7</v>
      </c>
      <c r="B1205" s="1" t="str">
        <f t="shared" si="31"/>
        <v>02406911202</v>
      </c>
      <c r="C1205" s="1" t="s">
        <v>13</v>
      </c>
      <c r="D1205" s="1" t="s">
        <v>1257</v>
      </c>
      <c r="E1205" s="1" t="s">
        <v>2644</v>
      </c>
      <c r="F1205" s="1" t="s">
        <v>49</v>
      </c>
      <c r="G1205" s="1" t="str">
        <f>"00831011200"</f>
        <v>00831011200</v>
      </c>
      <c r="I1205" s="1" t="s">
        <v>2645</v>
      </c>
      <c r="L1205" s="1" t="s">
        <v>44</v>
      </c>
      <c r="M1205" s="1" t="s">
        <v>946</v>
      </c>
      <c r="AG1205" s="1" t="s">
        <v>2646</v>
      </c>
      <c r="AH1205" s="2">
        <v>44951</v>
      </c>
      <c r="AI1205" s="2">
        <v>45291</v>
      </c>
      <c r="AJ1205" s="2">
        <v>44951</v>
      </c>
    </row>
    <row r="1206" spans="1:36">
      <c r="A1206" s="1" t="str">
        <f>"9623934194"</f>
        <v>9623934194</v>
      </c>
      <c r="B1206" s="1" t="str">
        <f t="shared" si="31"/>
        <v>02406911202</v>
      </c>
      <c r="C1206" s="1" t="s">
        <v>13</v>
      </c>
      <c r="D1206" s="1" t="s">
        <v>37</v>
      </c>
      <c r="E1206" s="1" t="s">
        <v>2647</v>
      </c>
      <c r="F1206" s="1" t="s">
        <v>39</v>
      </c>
      <c r="H1206" s="1" t="str">
        <f>"331567510"</f>
        <v>331567510</v>
      </c>
      <c r="I1206" s="1" t="s">
        <v>1591</v>
      </c>
      <c r="L1206" s="1" t="s">
        <v>44</v>
      </c>
      <c r="M1206" s="1" t="s">
        <v>249</v>
      </c>
      <c r="AG1206" s="1" t="s">
        <v>2648</v>
      </c>
      <c r="AH1206" s="2">
        <v>44953</v>
      </c>
      <c r="AI1206" s="2">
        <v>45107</v>
      </c>
      <c r="AJ1206" s="2">
        <v>44953</v>
      </c>
    </row>
    <row r="1207" spans="1:36">
      <c r="A1207" s="1" t="str">
        <f>"Z3B39B8796"</f>
        <v>Z3B39B8796</v>
      </c>
      <c r="B1207" s="1" t="str">
        <f t="shared" si="31"/>
        <v>02406911202</v>
      </c>
      <c r="C1207" s="1" t="s">
        <v>13</v>
      </c>
      <c r="D1207" s="1" t="s">
        <v>37</v>
      </c>
      <c r="E1207" s="1" t="s">
        <v>2649</v>
      </c>
      <c r="F1207" s="1" t="s">
        <v>117</v>
      </c>
      <c r="H1207" s="1" t="str">
        <f>"212570369"</f>
        <v>212570369</v>
      </c>
      <c r="I1207" s="1" t="s">
        <v>2650</v>
      </c>
      <c r="L1207" s="1" t="s">
        <v>44</v>
      </c>
      <c r="M1207" s="1" t="s">
        <v>2651</v>
      </c>
      <c r="AG1207" s="1" t="s">
        <v>2652</v>
      </c>
      <c r="AH1207" s="2">
        <v>44943</v>
      </c>
      <c r="AI1207" s="2">
        <v>46022</v>
      </c>
      <c r="AJ1207" s="2">
        <v>44943</v>
      </c>
    </row>
    <row r="1208" spans="1:36">
      <c r="A1208" s="1" t="str">
        <f>"ZE839BB441"</f>
        <v>ZE839BB441</v>
      </c>
      <c r="B1208" s="1" t="str">
        <f t="shared" si="31"/>
        <v>02406911202</v>
      </c>
      <c r="C1208" s="1" t="s">
        <v>13</v>
      </c>
      <c r="D1208" s="1" t="s">
        <v>1253</v>
      </c>
      <c r="E1208" s="1" t="s">
        <v>1270</v>
      </c>
      <c r="F1208" s="1" t="s">
        <v>49</v>
      </c>
      <c r="G1208" s="1" t="str">
        <f>"13110270157"</f>
        <v>13110270157</v>
      </c>
      <c r="I1208" s="1" t="s">
        <v>491</v>
      </c>
      <c r="L1208" s="1" t="s">
        <v>44</v>
      </c>
      <c r="M1208" s="1" t="s">
        <v>1255</v>
      </c>
      <c r="AG1208" s="1" t="s">
        <v>2653</v>
      </c>
      <c r="AH1208" s="2">
        <v>44957</v>
      </c>
      <c r="AI1208" s="2">
        <v>45291</v>
      </c>
      <c r="AJ1208" s="2">
        <v>44957</v>
      </c>
    </row>
    <row r="1209" spans="1:36">
      <c r="A1209" s="1" t="str">
        <f>"Z623A5EA58"</f>
        <v>Z623A5EA58</v>
      </c>
      <c r="B1209" s="1" t="str">
        <f t="shared" si="31"/>
        <v>02406911202</v>
      </c>
      <c r="C1209" s="1" t="s">
        <v>13</v>
      </c>
      <c r="D1209" s="1" t="s">
        <v>1312</v>
      </c>
      <c r="E1209" s="1" t="s">
        <v>1974</v>
      </c>
      <c r="F1209" s="1" t="s">
        <v>49</v>
      </c>
      <c r="G1209" s="1" t="str">
        <f>"02607721202"</f>
        <v>02607721202</v>
      </c>
      <c r="I1209" s="1" t="s">
        <v>2654</v>
      </c>
      <c r="L1209" s="1" t="s">
        <v>44</v>
      </c>
      <c r="M1209" s="1" t="s">
        <v>2655</v>
      </c>
      <c r="AG1209" s="1" t="s">
        <v>124</v>
      </c>
      <c r="AH1209" s="2">
        <v>44986</v>
      </c>
      <c r="AI1209" s="2">
        <v>45016</v>
      </c>
      <c r="AJ1209" s="2">
        <v>44986</v>
      </c>
    </row>
    <row r="1210" spans="1:36">
      <c r="A1210" s="1" t="str">
        <f>"9715188AC0"</f>
        <v>9715188AC0</v>
      </c>
      <c r="B1210" s="1" t="str">
        <f t="shared" si="31"/>
        <v>02406911202</v>
      </c>
      <c r="C1210" s="1" t="s">
        <v>13</v>
      </c>
      <c r="D1210" s="1" t="s">
        <v>37</v>
      </c>
      <c r="E1210" s="1" t="s">
        <v>2656</v>
      </c>
      <c r="F1210" s="1" t="s">
        <v>39</v>
      </c>
      <c r="G1210" s="1" t="str">
        <f>"01857820284"</f>
        <v>01857820284</v>
      </c>
      <c r="I1210" s="1" t="s">
        <v>674</v>
      </c>
      <c r="L1210" s="1" t="s">
        <v>44</v>
      </c>
      <c r="M1210" s="1" t="s">
        <v>2657</v>
      </c>
      <c r="AG1210" s="1" t="s">
        <v>2658</v>
      </c>
      <c r="AH1210" s="2">
        <v>45002</v>
      </c>
      <c r="AI1210" s="2">
        <v>45107</v>
      </c>
      <c r="AJ1210" s="2">
        <v>45002</v>
      </c>
    </row>
    <row r="1211" spans="1:36">
      <c r="A1211" s="1" t="str">
        <f>"Z1F3A6DC1C"</f>
        <v>Z1F3A6DC1C</v>
      </c>
      <c r="B1211" s="1" t="str">
        <f t="shared" si="31"/>
        <v>02406911202</v>
      </c>
      <c r="C1211" s="1" t="s">
        <v>13</v>
      </c>
      <c r="D1211" s="1" t="s">
        <v>1312</v>
      </c>
      <c r="E1211" s="1" t="s">
        <v>2659</v>
      </c>
      <c r="F1211" s="1" t="s">
        <v>49</v>
      </c>
      <c r="G1211" s="1" t="str">
        <f>"03797420969"</f>
        <v>03797420969</v>
      </c>
      <c r="I1211" s="1" t="s">
        <v>2660</v>
      </c>
      <c r="L1211" s="1" t="s">
        <v>44</v>
      </c>
      <c r="M1211" s="1" t="s">
        <v>1314</v>
      </c>
      <c r="AG1211" s="1" t="s">
        <v>2661</v>
      </c>
      <c r="AH1211" s="2">
        <v>45002</v>
      </c>
      <c r="AI1211" s="2">
        <v>46022</v>
      </c>
      <c r="AJ1211" s="2">
        <v>45002</v>
      </c>
    </row>
    <row r="1212" spans="1:36">
      <c r="A1212" s="1" t="str">
        <f>"Z343A6D601"</f>
        <v>Z343A6D601</v>
      </c>
      <c r="B1212" s="1" t="str">
        <f t="shared" si="31"/>
        <v>02406911202</v>
      </c>
      <c r="C1212" s="1" t="s">
        <v>13</v>
      </c>
      <c r="D1212" s="1" t="s">
        <v>1253</v>
      </c>
      <c r="E1212" s="1" t="s">
        <v>1270</v>
      </c>
      <c r="F1212" s="1" t="s">
        <v>49</v>
      </c>
      <c r="G1212" s="1" t="str">
        <f>"01794050151"</f>
        <v>01794050151</v>
      </c>
      <c r="I1212" s="1" t="s">
        <v>2662</v>
      </c>
      <c r="L1212" s="1" t="s">
        <v>44</v>
      </c>
      <c r="M1212" s="1" t="s">
        <v>1255</v>
      </c>
      <c r="AG1212" s="1" t="s">
        <v>2663</v>
      </c>
      <c r="AH1212" s="2">
        <v>45002</v>
      </c>
      <c r="AI1212" s="2">
        <v>45291</v>
      </c>
      <c r="AJ1212" s="2">
        <v>45002</v>
      </c>
    </row>
    <row r="1213" spans="1:36">
      <c r="A1213" s="1" t="str">
        <f>"97067496AC"</f>
        <v>97067496AC</v>
      </c>
      <c r="B1213" s="1" t="str">
        <f t="shared" si="31"/>
        <v>02406911202</v>
      </c>
      <c r="C1213" s="1" t="s">
        <v>13</v>
      </c>
      <c r="D1213" s="1" t="s">
        <v>37</v>
      </c>
      <c r="E1213" s="1" t="s">
        <v>2664</v>
      </c>
      <c r="F1213" s="1" t="s">
        <v>39</v>
      </c>
      <c r="G1213" s="1" t="str">
        <f>"11192991005"</f>
        <v>11192991005</v>
      </c>
      <c r="I1213" s="1" t="s">
        <v>335</v>
      </c>
      <c r="L1213" s="1" t="s">
        <v>44</v>
      </c>
      <c r="M1213" s="1" t="s">
        <v>83</v>
      </c>
      <c r="AG1213" s="1" t="s">
        <v>124</v>
      </c>
      <c r="AH1213" s="2">
        <v>45006</v>
      </c>
      <c r="AI1213" s="2">
        <v>45291</v>
      </c>
      <c r="AJ1213" s="2">
        <v>45006</v>
      </c>
    </row>
    <row r="1214" spans="1:36">
      <c r="A1214" s="1" t="str">
        <f>"Z733A70466"</f>
        <v>Z733A70466</v>
      </c>
      <c r="B1214" s="1" t="str">
        <f t="shared" si="31"/>
        <v>02406911202</v>
      </c>
      <c r="C1214" s="1" t="s">
        <v>13</v>
      </c>
      <c r="D1214" s="1" t="s">
        <v>1253</v>
      </c>
      <c r="E1214" s="1" t="s">
        <v>1270</v>
      </c>
      <c r="F1214" s="1" t="s">
        <v>49</v>
      </c>
      <c r="G1214" s="1" t="str">
        <f>"06754140157"</f>
        <v>06754140157</v>
      </c>
      <c r="I1214" s="1" t="s">
        <v>2665</v>
      </c>
      <c r="L1214" s="1" t="s">
        <v>44</v>
      </c>
      <c r="M1214" s="1" t="s">
        <v>1255</v>
      </c>
      <c r="AG1214" s="1" t="s">
        <v>2666</v>
      </c>
      <c r="AH1214" s="2">
        <v>45005</v>
      </c>
      <c r="AI1214" s="2">
        <v>45291</v>
      </c>
      <c r="AJ1214" s="2">
        <v>45005</v>
      </c>
    </row>
    <row r="1215" spans="1:36">
      <c r="A1215" s="1" t="str">
        <f>"9674457E76"</f>
        <v>9674457E76</v>
      </c>
      <c r="B1215" s="1" t="str">
        <f t="shared" si="31"/>
        <v>02406911202</v>
      </c>
      <c r="C1215" s="1" t="s">
        <v>13</v>
      </c>
      <c r="D1215" s="1" t="s">
        <v>37</v>
      </c>
      <c r="E1215" s="1" t="s">
        <v>2667</v>
      </c>
      <c r="F1215" s="1" t="s">
        <v>49</v>
      </c>
      <c r="G1215" s="1" t="str">
        <f>"01364640233"</f>
        <v>01364640233</v>
      </c>
      <c r="I1215" s="1" t="s">
        <v>2668</v>
      </c>
      <c r="L1215" s="1" t="s">
        <v>44</v>
      </c>
      <c r="M1215" s="1" t="s">
        <v>311</v>
      </c>
      <c r="AG1215" s="1" t="s">
        <v>2010</v>
      </c>
      <c r="AH1215" s="2">
        <v>44988</v>
      </c>
      <c r="AI1215" s="2">
        <v>45201</v>
      </c>
      <c r="AJ1215" s="2">
        <v>44988</v>
      </c>
    </row>
    <row r="1216" spans="1:36">
      <c r="A1216" s="1" t="str">
        <f>"Z173A710DC"</f>
        <v>Z173A710DC</v>
      </c>
      <c r="B1216" s="1" t="str">
        <f t="shared" si="31"/>
        <v>02406911202</v>
      </c>
      <c r="C1216" s="1" t="s">
        <v>13</v>
      </c>
      <c r="D1216" s="1" t="s">
        <v>1253</v>
      </c>
      <c r="E1216" s="1" t="s">
        <v>1270</v>
      </c>
      <c r="F1216" s="1" t="s">
        <v>49</v>
      </c>
      <c r="G1216" s="1" t="str">
        <f>"10778460963"</f>
        <v>10778460963</v>
      </c>
      <c r="I1216" s="1" t="s">
        <v>2669</v>
      </c>
      <c r="L1216" s="1" t="s">
        <v>44</v>
      </c>
      <c r="M1216" s="1" t="s">
        <v>153</v>
      </c>
      <c r="AG1216" s="1" t="s">
        <v>81</v>
      </c>
      <c r="AH1216" s="2">
        <v>45005</v>
      </c>
      <c r="AI1216" s="2">
        <v>45291</v>
      </c>
      <c r="AJ1216" s="2">
        <v>45005</v>
      </c>
    </row>
    <row r="1217" spans="1:36">
      <c r="A1217" s="1" t="str">
        <f>"Z6D39B35F5"</f>
        <v>Z6D39B35F5</v>
      </c>
      <c r="B1217" s="1" t="str">
        <f t="shared" si="31"/>
        <v>02406911202</v>
      </c>
      <c r="C1217" s="1" t="s">
        <v>13</v>
      </c>
      <c r="D1217" s="1" t="s">
        <v>37</v>
      </c>
      <c r="E1217" s="1" t="s">
        <v>2670</v>
      </c>
      <c r="F1217" s="1" t="s">
        <v>117</v>
      </c>
      <c r="G1217" s="1" t="str">
        <f>"08082461008"</f>
        <v>08082461008</v>
      </c>
      <c r="I1217" s="1" t="s">
        <v>423</v>
      </c>
      <c r="L1217" s="1" t="s">
        <v>44</v>
      </c>
      <c r="M1217" s="1" t="s">
        <v>2671</v>
      </c>
      <c r="AG1217" s="1" t="s">
        <v>2672</v>
      </c>
      <c r="AH1217" s="2">
        <v>44958</v>
      </c>
      <c r="AI1217" s="2">
        <v>45138</v>
      </c>
      <c r="AJ1217" s="2">
        <v>44958</v>
      </c>
    </row>
    <row r="1218" spans="1:36">
      <c r="A1218" s="1" t="str">
        <f>"Z1839DE6DE"</f>
        <v>Z1839DE6DE</v>
      </c>
      <c r="B1218" s="1" t="str">
        <f t="shared" si="31"/>
        <v>02406911202</v>
      </c>
      <c r="C1218" s="1" t="s">
        <v>13</v>
      </c>
      <c r="D1218" s="1" t="s">
        <v>1312</v>
      </c>
      <c r="E1218" s="1" t="s">
        <v>2673</v>
      </c>
      <c r="F1218" s="1" t="s">
        <v>49</v>
      </c>
      <c r="G1218" s="1" t="str">
        <f>"12546450151"</f>
        <v>12546450151</v>
      </c>
      <c r="I1218" s="1" t="s">
        <v>2674</v>
      </c>
      <c r="L1218" s="1" t="s">
        <v>44</v>
      </c>
      <c r="M1218" s="1" t="s">
        <v>1735</v>
      </c>
      <c r="AG1218" s="1" t="s">
        <v>2675</v>
      </c>
      <c r="AH1218" s="2">
        <v>44927</v>
      </c>
      <c r="AI1218" s="2">
        <v>45016</v>
      </c>
      <c r="AJ1218" s="2">
        <v>44927</v>
      </c>
    </row>
    <row r="1219" spans="1:36">
      <c r="A1219" s="1" t="str">
        <f>"ZB63A604E8"</f>
        <v>ZB63A604E8</v>
      </c>
      <c r="B1219" s="1" t="str">
        <f t="shared" si="31"/>
        <v>02406911202</v>
      </c>
      <c r="C1219" s="1" t="s">
        <v>13</v>
      </c>
      <c r="D1219" s="1" t="s">
        <v>1257</v>
      </c>
      <c r="E1219" s="1" t="s">
        <v>2676</v>
      </c>
      <c r="F1219" s="1" t="s">
        <v>49</v>
      </c>
      <c r="G1219" s="1" t="str">
        <f>"03301251207"</f>
        <v>03301251207</v>
      </c>
      <c r="I1219" s="1" t="s">
        <v>214</v>
      </c>
      <c r="L1219" s="1" t="s">
        <v>44</v>
      </c>
      <c r="M1219" s="1" t="s">
        <v>153</v>
      </c>
      <c r="AG1219" s="1" t="s">
        <v>2677</v>
      </c>
      <c r="AH1219" s="2">
        <v>45000</v>
      </c>
      <c r="AI1219" s="2">
        <v>45291</v>
      </c>
      <c r="AJ1219" s="2">
        <v>45000</v>
      </c>
    </row>
    <row r="1220" spans="1:36">
      <c r="A1220" s="1" t="str">
        <f>"Z313A63F2F"</f>
        <v>Z313A63F2F</v>
      </c>
      <c r="B1220" s="1" t="str">
        <f t="shared" si="31"/>
        <v>02406911202</v>
      </c>
      <c r="C1220" s="1" t="s">
        <v>13</v>
      </c>
      <c r="D1220" s="1" t="s">
        <v>1312</v>
      </c>
      <c r="E1220" s="1" t="s">
        <v>2678</v>
      </c>
      <c r="F1220" s="1" t="s">
        <v>49</v>
      </c>
      <c r="G1220" s="1" t="str">
        <f>"06349620960"</f>
        <v>06349620960</v>
      </c>
      <c r="I1220" s="1" t="s">
        <v>2679</v>
      </c>
      <c r="L1220" s="1" t="s">
        <v>44</v>
      </c>
      <c r="M1220" s="1" t="s">
        <v>1314</v>
      </c>
      <c r="AG1220" s="1" t="s">
        <v>2680</v>
      </c>
      <c r="AH1220" s="2">
        <v>45000</v>
      </c>
      <c r="AI1220" s="2">
        <v>46022</v>
      </c>
      <c r="AJ1220" s="2">
        <v>45000</v>
      </c>
    </row>
    <row r="1221" spans="1:36">
      <c r="A1221" s="1" t="str">
        <f>"Z873A6A2D7"</f>
        <v>Z873A6A2D7</v>
      </c>
      <c r="B1221" s="1" t="str">
        <f t="shared" si="31"/>
        <v>02406911202</v>
      </c>
      <c r="C1221" s="1" t="s">
        <v>13</v>
      </c>
      <c r="D1221" s="1" t="s">
        <v>1253</v>
      </c>
      <c r="E1221" s="1" t="s">
        <v>1254</v>
      </c>
      <c r="F1221" s="1" t="s">
        <v>49</v>
      </c>
      <c r="G1221" s="1" t="str">
        <f>"00122890874"</f>
        <v>00122890874</v>
      </c>
      <c r="I1221" s="1" t="s">
        <v>2681</v>
      </c>
      <c r="L1221" s="1" t="s">
        <v>44</v>
      </c>
      <c r="M1221" s="1" t="s">
        <v>1255</v>
      </c>
      <c r="AG1221" s="1" t="s">
        <v>2682</v>
      </c>
      <c r="AH1221" s="2">
        <v>45002</v>
      </c>
      <c r="AI1221" s="2">
        <v>45291</v>
      </c>
      <c r="AJ1221" s="2">
        <v>45002</v>
      </c>
    </row>
    <row r="1222" spans="1:36">
      <c r="A1222" s="1" t="str">
        <f>"Z033A6A38A"</f>
        <v>Z033A6A38A</v>
      </c>
      <c r="B1222" s="1" t="str">
        <f t="shared" ref="B1222:B1285" si="32">"02406911202"</f>
        <v>02406911202</v>
      </c>
      <c r="C1222" s="1" t="s">
        <v>13</v>
      </c>
      <c r="D1222" s="1" t="s">
        <v>1312</v>
      </c>
      <c r="E1222" s="1" t="s">
        <v>1974</v>
      </c>
      <c r="F1222" s="1" t="s">
        <v>49</v>
      </c>
      <c r="G1222" s="1" t="str">
        <f>"01793811207"</f>
        <v>01793811207</v>
      </c>
      <c r="I1222" s="1" t="s">
        <v>2683</v>
      </c>
      <c r="L1222" s="1" t="s">
        <v>44</v>
      </c>
      <c r="M1222" s="1" t="s">
        <v>2684</v>
      </c>
      <c r="AG1222" s="1" t="s">
        <v>2685</v>
      </c>
      <c r="AH1222" s="2">
        <v>44986</v>
      </c>
      <c r="AI1222" s="2">
        <v>45016</v>
      </c>
      <c r="AJ1222" s="2">
        <v>44986</v>
      </c>
    </row>
    <row r="1223" spans="1:36">
      <c r="A1223" s="1" t="str">
        <f>"97136895BE"</f>
        <v>97136895BE</v>
      </c>
      <c r="B1223" s="1" t="str">
        <f t="shared" si="32"/>
        <v>02406911202</v>
      </c>
      <c r="C1223" s="1" t="s">
        <v>13</v>
      </c>
      <c r="D1223" s="1" t="s">
        <v>37</v>
      </c>
      <c r="E1223" s="1" t="s">
        <v>2686</v>
      </c>
      <c r="F1223" s="1" t="s">
        <v>39</v>
      </c>
      <c r="G1223" s="1" t="str">
        <f>"03544600137"</f>
        <v>03544600137</v>
      </c>
      <c r="I1223" s="1" t="s">
        <v>152</v>
      </c>
      <c r="L1223" s="1" t="s">
        <v>44</v>
      </c>
      <c r="M1223" s="1" t="s">
        <v>2687</v>
      </c>
      <c r="AG1223" s="1" t="s">
        <v>2688</v>
      </c>
      <c r="AH1223" s="2">
        <v>45007</v>
      </c>
      <c r="AI1223" s="2">
        <v>45372</v>
      </c>
      <c r="AJ1223" s="2">
        <v>45007</v>
      </c>
    </row>
    <row r="1224" spans="1:36">
      <c r="A1224" s="1" t="str">
        <f>"971808409E"</f>
        <v>971808409E</v>
      </c>
      <c r="B1224" s="1" t="str">
        <f t="shared" si="32"/>
        <v>02406911202</v>
      </c>
      <c r="C1224" s="1" t="s">
        <v>13</v>
      </c>
      <c r="D1224" s="1" t="s">
        <v>37</v>
      </c>
      <c r="E1224" s="1" t="s">
        <v>2689</v>
      </c>
      <c r="F1224" s="1" t="s">
        <v>117</v>
      </c>
      <c r="G1224" s="1" t="str">
        <f>"00691781207"</f>
        <v>00691781207</v>
      </c>
      <c r="I1224" s="1" t="s">
        <v>704</v>
      </c>
      <c r="L1224" s="1" t="s">
        <v>44</v>
      </c>
      <c r="M1224" s="1" t="s">
        <v>2690</v>
      </c>
      <c r="AG1224" s="1" t="s">
        <v>2691</v>
      </c>
      <c r="AH1224" s="2">
        <v>45002</v>
      </c>
      <c r="AI1224" s="2">
        <v>45366</v>
      </c>
      <c r="AJ1224" s="2">
        <v>45002</v>
      </c>
    </row>
    <row r="1225" spans="1:36">
      <c r="A1225" s="1" t="str">
        <f>"Z983A209F5"</f>
        <v>Z983A209F5</v>
      </c>
      <c r="B1225" s="1" t="str">
        <f t="shared" si="32"/>
        <v>02406911202</v>
      </c>
      <c r="C1225" s="1" t="s">
        <v>13</v>
      </c>
      <c r="D1225" s="1" t="s">
        <v>1741</v>
      </c>
      <c r="E1225" s="1" t="s">
        <v>2692</v>
      </c>
      <c r="F1225" s="1" t="s">
        <v>39</v>
      </c>
      <c r="G1225" s="1" t="str">
        <f>"02138390360"</f>
        <v>02138390360</v>
      </c>
      <c r="I1225" s="1" t="s">
        <v>1879</v>
      </c>
      <c r="L1225" s="1" t="s">
        <v>44</v>
      </c>
      <c r="M1225" s="1" t="s">
        <v>2693</v>
      </c>
      <c r="AG1225" s="1" t="s">
        <v>2693</v>
      </c>
      <c r="AH1225" s="2">
        <v>44984</v>
      </c>
      <c r="AI1225" s="2">
        <v>45291</v>
      </c>
      <c r="AJ1225" s="2">
        <v>44984</v>
      </c>
    </row>
    <row r="1226" spans="1:36">
      <c r="A1226" s="1" t="str">
        <f>"Z983A209F5"</f>
        <v>Z983A209F5</v>
      </c>
      <c r="B1226" s="1" t="str">
        <f t="shared" si="32"/>
        <v>02406911202</v>
      </c>
      <c r="C1226" s="1" t="s">
        <v>13</v>
      </c>
      <c r="D1226" s="1" t="s">
        <v>1741</v>
      </c>
      <c r="E1226" s="1" t="s">
        <v>2692</v>
      </c>
      <c r="F1226" s="1" t="s">
        <v>39</v>
      </c>
      <c r="G1226" s="1" t="str">
        <f>"01486330309"</f>
        <v>01486330309</v>
      </c>
      <c r="I1226" s="1" t="s">
        <v>2134</v>
      </c>
      <c r="L1226" s="1" t="s">
        <v>41</v>
      </c>
      <c r="AJ1226" s="2">
        <v>44984</v>
      </c>
    </row>
    <row r="1227" spans="1:36">
      <c r="A1227" s="1" t="str">
        <f>"Z7C3A6FEFB"</f>
        <v>Z7C3A6FEFB</v>
      </c>
      <c r="B1227" s="1" t="str">
        <f t="shared" si="32"/>
        <v>02406911202</v>
      </c>
      <c r="C1227" s="1" t="s">
        <v>13</v>
      </c>
      <c r="D1227" s="1" t="s">
        <v>1253</v>
      </c>
      <c r="E1227" s="1" t="s">
        <v>1260</v>
      </c>
      <c r="F1227" s="1" t="s">
        <v>49</v>
      </c>
      <c r="G1227" s="1" t="str">
        <f>"02680890411"</f>
        <v>02680890411</v>
      </c>
      <c r="I1227" s="1" t="s">
        <v>2694</v>
      </c>
      <c r="L1227" s="1" t="s">
        <v>44</v>
      </c>
      <c r="M1227" s="1" t="s">
        <v>1255</v>
      </c>
      <c r="AG1227" s="1" t="s">
        <v>2695</v>
      </c>
      <c r="AH1227" s="2">
        <v>45005</v>
      </c>
      <c r="AI1227" s="2">
        <v>45291</v>
      </c>
      <c r="AJ1227" s="2">
        <v>45005</v>
      </c>
    </row>
    <row r="1228" spans="1:36">
      <c r="A1228" s="1" t="str">
        <f>"95363962EF"</f>
        <v>95363962EF</v>
      </c>
      <c r="B1228" s="1" t="str">
        <f t="shared" si="32"/>
        <v>02406911202</v>
      </c>
      <c r="C1228" s="1" t="s">
        <v>13</v>
      </c>
      <c r="D1228" s="1" t="s">
        <v>205</v>
      </c>
      <c r="E1228" s="1" t="s">
        <v>2696</v>
      </c>
      <c r="F1228" s="1" t="s">
        <v>117</v>
      </c>
      <c r="G1228" s="1" t="str">
        <f>"01088170392"</f>
        <v>01088170392</v>
      </c>
      <c r="I1228" s="1" t="s">
        <v>1812</v>
      </c>
      <c r="L1228" s="1" t="s">
        <v>44</v>
      </c>
      <c r="M1228" s="1" t="s">
        <v>2697</v>
      </c>
      <c r="AG1228" s="1" t="s">
        <v>2698</v>
      </c>
      <c r="AH1228" s="2">
        <v>44927</v>
      </c>
      <c r="AI1228" s="2">
        <v>45291</v>
      </c>
      <c r="AJ1228" s="2">
        <v>44927</v>
      </c>
    </row>
    <row r="1229" spans="1:36">
      <c r="A1229" s="1" t="str">
        <f>"9536452126"</f>
        <v>9536452126</v>
      </c>
      <c r="B1229" s="1" t="str">
        <f t="shared" si="32"/>
        <v>02406911202</v>
      </c>
      <c r="C1229" s="1" t="s">
        <v>13</v>
      </c>
      <c r="D1229" s="1" t="s">
        <v>205</v>
      </c>
      <c r="E1229" s="1" t="s">
        <v>2699</v>
      </c>
      <c r="F1229" s="1" t="s">
        <v>117</v>
      </c>
      <c r="G1229" s="1" t="str">
        <f>"01534890346"</f>
        <v>01534890346</v>
      </c>
      <c r="I1229" s="1" t="s">
        <v>2700</v>
      </c>
      <c r="L1229" s="1" t="s">
        <v>44</v>
      </c>
      <c r="M1229" s="1" t="s">
        <v>2701</v>
      </c>
      <c r="AG1229" s="1" t="s">
        <v>2702</v>
      </c>
      <c r="AH1229" s="2">
        <v>44927</v>
      </c>
      <c r="AI1229" s="2">
        <v>45291</v>
      </c>
      <c r="AJ1229" s="2">
        <v>44927</v>
      </c>
    </row>
    <row r="1230" spans="1:36">
      <c r="A1230" s="1" t="str">
        <f>"9565865186"</f>
        <v>9565865186</v>
      </c>
      <c r="B1230" s="1" t="str">
        <f t="shared" si="32"/>
        <v>02406911202</v>
      </c>
      <c r="C1230" s="1" t="s">
        <v>13</v>
      </c>
      <c r="D1230" s="1" t="s">
        <v>205</v>
      </c>
      <c r="E1230" s="1" t="s">
        <v>2703</v>
      </c>
      <c r="F1230" s="1" t="s">
        <v>117</v>
      </c>
      <c r="G1230" s="1" t="str">
        <f>"03146200401"</f>
        <v>03146200401</v>
      </c>
      <c r="I1230" s="1" t="s">
        <v>2704</v>
      </c>
      <c r="L1230" s="1" t="s">
        <v>44</v>
      </c>
      <c r="M1230" s="1" t="s">
        <v>2705</v>
      </c>
      <c r="AG1230" s="1" t="s">
        <v>2706</v>
      </c>
      <c r="AH1230" s="2">
        <v>44927</v>
      </c>
      <c r="AI1230" s="2">
        <v>45291</v>
      </c>
      <c r="AJ1230" s="2">
        <v>44927</v>
      </c>
    </row>
    <row r="1231" spans="1:36">
      <c r="A1231" s="1" t="str">
        <f>"95366769FD"</f>
        <v>95366769FD</v>
      </c>
      <c r="B1231" s="1" t="str">
        <f t="shared" si="32"/>
        <v>02406911202</v>
      </c>
      <c r="C1231" s="1" t="s">
        <v>13</v>
      </c>
      <c r="D1231" s="1" t="s">
        <v>205</v>
      </c>
      <c r="E1231" s="1" t="s">
        <v>2707</v>
      </c>
      <c r="F1231" s="1" t="s">
        <v>117</v>
      </c>
      <c r="G1231" s="1" t="str">
        <f>"02690880402"</f>
        <v>02690880402</v>
      </c>
      <c r="I1231" s="1" t="s">
        <v>1809</v>
      </c>
      <c r="L1231" s="1" t="s">
        <v>44</v>
      </c>
      <c r="M1231" s="1" t="s">
        <v>2708</v>
      </c>
      <c r="AG1231" s="1" t="s">
        <v>2709</v>
      </c>
      <c r="AH1231" s="2">
        <v>44927</v>
      </c>
      <c r="AI1231" s="2">
        <v>45291</v>
      </c>
      <c r="AJ1231" s="2">
        <v>44927</v>
      </c>
    </row>
    <row r="1232" spans="1:36">
      <c r="A1232" s="1" t="str">
        <f>"ZD23998848"</f>
        <v>ZD23998848</v>
      </c>
      <c r="B1232" s="1" t="str">
        <f t="shared" si="32"/>
        <v>02406911202</v>
      </c>
      <c r="C1232" s="1" t="s">
        <v>13</v>
      </c>
      <c r="D1232" s="1" t="s">
        <v>1257</v>
      </c>
      <c r="E1232" s="1" t="s">
        <v>2710</v>
      </c>
      <c r="F1232" s="1" t="s">
        <v>49</v>
      </c>
      <c r="G1232" s="1" t="str">
        <f>"03032430963"</f>
        <v>03032430963</v>
      </c>
      <c r="I1232" s="1" t="s">
        <v>2711</v>
      </c>
      <c r="L1232" s="1" t="s">
        <v>44</v>
      </c>
      <c r="M1232" s="1" t="s">
        <v>946</v>
      </c>
      <c r="AG1232" s="1" t="s">
        <v>208</v>
      </c>
      <c r="AH1232" s="2">
        <v>44946</v>
      </c>
      <c r="AI1232" s="2">
        <v>45291</v>
      </c>
      <c r="AJ1232" s="2">
        <v>44946</v>
      </c>
    </row>
    <row r="1233" spans="1:36">
      <c r="A1233" s="1" t="str">
        <f>"ZF8380D0C6"</f>
        <v>ZF8380D0C6</v>
      </c>
      <c r="B1233" s="1" t="str">
        <f t="shared" si="32"/>
        <v>02406911202</v>
      </c>
      <c r="C1233" s="1" t="s">
        <v>13</v>
      </c>
      <c r="D1233" s="1" t="s">
        <v>1741</v>
      </c>
      <c r="E1233" s="1" t="s">
        <v>2712</v>
      </c>
      <c r="F1233" s="1" t="s">
        <v>39</v>
      </c>
      <c r="G1233" s="1" t="str">
        <f>"03962640482"</f>
        <v>03962640482</v>
      </c>
      <c r="I1233" s="1" t="s">
        <v>2713</v>
      </c>
      <c r="L1233" s="1" t="s">
        <v>44</v>
      </c>
      <c r="M1233" s="1" t="s">
        <v>2714</v>
      </c>
      <c r="AG1233" s="1" t="s">
        <v>2715</v>
      </c>
      <c r="AH1233" s="2">
        <v>44927</v>
      </c>
      <c r="AI1233" s="2">
        <v>45291</v>
      </c>
      <c r="AJ1233" s="2">
        <v>44927</v>
      </c>
    </row>
    <row r="1234" spans="1:36">
      <c r="A1234" s="1" t="str">
        <f>"9616267A8F"</f>
        <v>9616267A8F</v>
      </c>
      <c r="B1234" s="1" t="str">
        <f t="shared" si="32"/>
        <v>02406911202</v>
      </c>
      <c r="C1234" s="1" t="s">
        <v>13</v>
      </c>
      <c r="D1234" s="1" t="s">
        <v>1312</v>
      </c>
      <c r="E1234" s="1" t="s">
        <v>2716</v>
      </c>
      <c r="F1234" s="1" t="s">
        <v>49</v>
      </c>
      <c r="G1234" s="1" t="str">
        <f>"11160660152"</f>
        <v>11160660152</v>
      </c>
      <c r="I1234" s="1" t="s">
        <v>306</v>
      </c>
      <c r="L1234" s="1" t="s">
        <v>44</v>
      </c>
      <c r="M1234" s="1" t="s">
        <v>2717</v>
      </c>
      <c r="AG1234" s="1" t="s">
        <v>2718</v>
      </c>
      <c r="AH1234" s="2">
        <v>44959</v>
      </c>
      <c r="AI1234" s="2">
        <v>45018</v>
      </c>
      <c r="AJ1234" s="2">
        <v>44959</v>
      </c>
    </row>
    <row r="1235" spans="1:36">
      <c r="A1235" s="1" t="str">
        <f>"Z6939C5DF6"</f>
        <v>Z6939C5DF6</v>
      </c>
      <c r="B1235" s="1" t="str">
        <f t="shared" si="32"/>
        <v>02406911202</v>
      </c>
      <c r="C1235" s="1" t="s">
        <v>13</v>
      </c>
      <c r="D1235" s="1" t="s">
        <v>1253</v>
      </c>
      <c r="E1235" s="1" t="s">
        <v>1270</v>
      </c>
      <c r="F1235" s="1" t="s">
        <v>49</v>
      </c>
      <c r="G1235" s="1" t="str">
        <f>"00530130673"</f>
        <v>00530130673</v>
      </c>
      <c r="I1235" s="1" t="s">
        <v>2298</v>
      </c>
      <c r="L1235" s="1" t="s">
        <v>44</v>
      </c>
      <c r="M1235" s="1" t="s">
        <v>1255</v>
      </c>
      <c r="AG1235" s="1" t="s">
        <v>2719</v>
      </c>
      <c r="AH1235" s="2">
        <v>44959</v>
      </c>
      <c r="AI1235" s="2">
        <v>45291</v>
      </c>
      <c r="AJ1235" s="2">
        <v>44959</v>
      </c>
    </row>
    <row r="1236" spans="1:36">
      <c r="A1236" s="1" t="str">
        <f>"Z3339A208A"</f>
        <v>Z3339A208A</v>
      </c>
      <c r="B1236" s="1" t="str">
        <f t="shared" si="32"/>
        <v>02406911202</v>
      </c>
      <c r="C1236" s="1" t="s">
        <v>13</v>
      </c>
      <c r="D1236" s="1" t="s">
        <v>37</v>
      </c>
      <c r="E1236" s="1" t="s">
        <v>2720</v>
      </c>
      <c r="F1236" s="1" t="s">
        <v>117</v>
      </c>
      <c r="G1236" s="1" t="str">
        <f>"01466740501"</f>
        <v>01466740501</v>
      </c>
      <c r="I1236" s="1" t="s">
        <v>2721</v>
      </c>
      <c r="L1236" s="1" t="s">
        <v>44</v>
      </c>
      <c r="M1236" s="1" t="s">
        <v>2722</v>
      </c>
      <c r="AG1236" s="1" t="s">
        <v>2723</v>
      </c>
      <c r="AH1236" s="2">
        <v>44943</v>
      </c>
      <c r="AI1236" s="2">
        <v>46022</v>
      </c>
      <c r="AJ1236" s="2">
        <v>44943</v>
      </c>
    </row>
    <row r="1237" spans="1:36">
      <c r="A1237" s="1" t="str">
        <f>"Z4739C6C54"</f>
        <v>Z4739C6C54</v>
      </c>
      <c r="B1237" s="1" t="str">
        <f t="shared" si="32"/>
        <v>02406911202</v>
      </c>
      <c r="C1237" s="1" t="s">
        <v>13</v>
      </c>
      <c r="D1237" s="1" t="s">
        <v>1312</v>
      </c>
      <c r="E1237" s="1" t="s">
        <v>2724</v>
      </c>
      <c r="F1237" s="1" t="s">
        <v>49</v>
      </c>
      <c r="G1237" s="1" t="str">
        <f>"01693020206"</f>
        <v>01693020206</v>
      </c>
      <c r="I1237" s="1" t="s">
        <v>1632</v>
      </c>
      <c r="L1237" s="1" t="s">
        <v>44</v>
      </c>
      <c r="M1237" s="1" t="s">
        <v>1314</v>
      </c>
      <c r="AG1237" s="1" t="s">
        <v>2725</v>
      </c>
      <c r="AH1237" s="2">
        <v>44959</v>
      </c>
      <c r="AI1237" s="2">
        <v>46022</v>
      </c>
      <c r="AJ1237" s="2">
        <v>44959</v>
      </c>
    </row>
    <row r="1238" spans="1:36">
      <c r="A1238" s="1" t="str">
        <f>"Z473A5F6AD"</f>
        <v>Z473A5F6AD</v>
      </c>
      <c r="B1238" s="1" t="str">
        <f t="shared" si="32"/>
        <v>02406911202</v>
      </c>
      <c r="C1238" s="1" t="s">
        <v>13</v>
      </c>
      <c r="D1238" s="1" t="s">
        <v>1253</v>
      </c>
      <c r="E1238" s="1" t="s">
        <v>1270</v>
      </c>
      <c r="F1238" s="1" t="s">
        <v>49</v>
      </c>
      <c r="H1238" s="1" t="str">
        <f>"191910493"</f>
        <v>191910493</v>
      </c>
      <c r="I1238" s="1" t="s">
        <v>2726</v>
      </c>
      <c r="L1238" s="1" t="s">
        <v>44</v>
      </c>
      <c r="M1238" s="1" t="s">
        <v>1255</v>
      </c>
      <c r="AG1238" s="1" t="s">
        <v>2727</v>
      </c>
      <c r="AH1238" s="2">
        <v>45000</v>
      </c>
      <c r="AI1238" s="2">
        <v>45291</v>
      </c>
      <c r="AJ1238" s="2">
        <v>45000</v>
      </c>
    </row>
    <row r="1239" spans="1:36">
      <c r="A1239" s="1" t="str">
        <f>"ZB73A5F773"</f>
        <v>ZB73A5F773</v>
      </c>
      <c r="B1239" s="1" t="str">
        <f t="shared" si="32"/>
        <v>02406911202</v>
      </c>
      <c r="C1239" s="1" t="s">
        <v>13</v>
      </c>
      <c r="D1239" s="1" t="s">
        <v>1253</v>
      </c>
      <c r="E1239" s="1" t="s">
        <v>1254</v>
      </c>
      <c r="F1239" s="1" t="s">
        <v>49</v>
      </c>
      <c r="G1239" s="1" t="str">
        <f>"01736720994"</f>
        <v>01736720994</v>
      </c>
      <c r="I1239" s="1" t="s">
        <v>80</v>
      </c>
      <c r="L1239" s="1" t="s">
        <v>44</v>
      </c>
      <c r="M1239" s="1" t="s">
        <v>1255</v>
      </c>
      <c r="AG1239" s="1" t="s">
        <v>2728</v>
      </c>
      <c r="AH1239" s="2">
        <v>45000</v>
      </c>
      <c r="AI1239" s="2">
        <v>45291</v>
      </c>
      <c r="AJ1239" s="2">
        <v>45000</v>
      </c>
    </row>
    <row r="1240" spans="1:36">
      <c r="A1240" s="1" t="str">
        <f>"Z6A3A5FB35"</f>
        <v>Z6A3A5FB35</v>
      </c>
      <c r="B1240" s="1" t="str">
        <f t="shared" si="32"/>
        <v>02406911202</v>
      </c>
      <c r="C1240" s="1" t="s">
        <v>13</v>
      </c>
      <c r="D1240" s="1" t="s">
        <v>1253</v>
      </c>
      <c r="E1240" s="1" t="s">
        <v>1260</v>
      </c>
      <c r="F1240" s="1" t="s">
        <v>49</v>
      </c>
      <c r="G1240" s="1" t="str">
        <f>"02658740614"</f>
        <v>02658740614</v>
      </c>
      <c r="I1240" s="1" t="s">
        <v>2729</v>
      </c>
      <c r="L1240" s="1" t="s">
        <v>44</v>
      </c>
      <c r="M1240" s="1" t="s">
        <v>1255</v>
      </c>
      <c r="AG1240" s="1" t="s">
        <v>2730</v>
      </c>
      <c r="AH1240" s="2">
        <v>45000</v>
      </c>
      <c r="AI1240" s="2">
        <v>45291</v>
      </c>
      <c r="AJ1240" s="2">
        <v>45000</v>
      </c>
    </row>
    <row r="1241" spans="1:36">
      <c r="A1241" s="1" t="str">
        <f>"ZC03A6A575"</f>
        <v>ZC03A6A575</v>
      </c>
      <c r="B1241" s="1" t="str">
        <f t="shared" si="32"/>
        <v>02406911202</v>
      </c>
      <c r="C1241" s="1" t="s">
        <v>13</v>
      </c>
      <c r="D1241" s="1" t="s">
        <v>1312</v>
      </c>
      <c r="E1241" s="1" t="s">
        <v>2731</v>
      </c>
      <c r="F1241" s="1" t="s">
        <v>49</v>
      </c>
      <c r="G1241" s="1" t="str">
        <f>"00197370281"</f>
        <v>00197370281</v>
      </c>
      <c r="I1241" s="1" t="s">
        <v>1299</v>
      </c>
      <c r="L1241" s="1" t="s">
        <v>44</v>
      </c>
      <c r="M1241" s="1" t="s">
        <v>1314</v>
      </c>
      <c r="AG1241" s="1" t="s">
        <v>2732</v>
      </c>
      <c r="AH1241" s="2">
        <v>45002</v>
      </c>
      <c r="AI1241" s="2">
        <v>45291</v>
      </c>
      <c r="AJ1241" s="2">
        <v>45002</v>
      </c>
    </row>
    <row r="1242" spans="1:36">
      <c r="A1242" s="1" t="str">
        <f>"Z563A7366E"</f>
        <v>Z563A7366E</v>
      </c>
      <c r="B1242" s="1" t="str">
        <f t="shared" si="32"/>
        <v>02406911202</v>
      </c>
      <c r="C1242" s="1" t="s">
        <v>13</v>
      </c>
      <c r="D1242" s="1" t="s">
        <v>1312</v>
      </c>
      <c r="E1242" s="1" t="s">
        <v>2733</v>
      </c>
      <c r="F1242" s="1" t="s">
        <v>49</v>
      </c>
      <c r="G1242" s="1" t="str">
        <f>"00674840152"</f>
        <v>00674840152</v>
      </c>
      <c r="I1242" s="1" t="s">
        <v>190</v>
      </c>
      <c r="L1242" s="1" t="s">
        <v>44</v>
      </c>
      <c r="M1242" s="1" t="s">
        <v>1314</v>
      </c>
      <c r="AG1242" s="1" t="s">
        <v>2734</v>
      </c>
      <c r="AH1242" s="2">
        <v>45005</v>
      </c>
      <c r="AI1242" s="2">
        <v>46022</v>
      </c>
      <c r="AJ1242" s="2">
        <v>45005</v>
      </c>
    </row>
    <row r="1243" spans="1:36">
      <c r="A1243" s="1" t="str">
        <f>"ZCF3A7475B"</f>
        <v>ZCF3A7475B</v>
      </c>
      <c r="B1243" s="1" t="str">
        <f t="shared" si="32"/>
        <v>02406911202</v>
      </c>
      <c r="C1243" s="1" t="s">
        <v>13</v>
      </c>
      <c r="D1243" s="1" t="s">
        <v>1312</v>
      </c>
      <c r="E1243" s="1" t="s">
        <v>2735</v>
      </c>
      <c r="F1243" s="1" t="s">
        <v>49</v>
      </c>
      <c r="G1243" s="1" t="str">
        <f>"00614941201"</f>
        <v>00614941201</v>
      </c>
      <c r="I1243" s="1" t="s">
        <v>2736</v>
      </c>
      <c r="L1243" s="1" t="s">
        <v>44</v>
      </c>
      <c r="M1243" s="1" t="s">
        <v>1314</v>
      </c>
      <c r="AG1243" s="1" t="s">
        <v>2737</v>
      </c>
      <c r="AH1243" s="2">
        <v>45006</v>
      </c>
      <c r="AI1243" s="2">
        <v>45291</v>
      </c>
      <c r="AJ1243" s="2">
        <v>45006</v>
      </c>
    </row>
    <row r="1244" spans="1:36">
      <c r="A1244" s="1" t="str">
        <f>"9689232F2D"</f>
        <v>9689232F2D</v>
      </c>
      <c r="B1244" s="1" t="str">
        <f t="shared" si="32"/>
        <v>02406911202</v>
      </c>
      <c r="C1244" s="1" t="s">
        <v>13</v>
      </c>
      <c r="D1244" s="1" t="s">
        <v>1253</v>
      </c>
      <c r="E1244" s="1" t="s">
        <v>1270</v>
      </c>
      <c r="F1244" s="1" t="s">
        <v>49</v>
      </c>
      <c r="G1244" s="1" t="str">
        <f>"01128170220"</f>
        <v>01128170220</v>
      </c>
      <c r="I1244" s="1" t="s">
        <v>2738</v>
      </c>
      <c r="L1244" s="1" t="s">
        <v>44</v>
      </c>
      <c r="M1244" s="1" t="s">
        <v>2739</v>
      </c>
      <c r="AG1244" s="1" t="s">
        <v>124</v>
      </c>
      <c r="AH1244" s="2">
        <v>45006</v>
      </c>
      <c r="AI1244" s="2">
        <v>45291</v>
      </c>
      <c r="AJ1244" s="2">
        <v>45006</v>
      </c>
    </row>
    <row r="1245" spans="1:36">
      <c r="A1245" s="1" t="str">
        <f>"960876186A"</f>
        <v>960876186A</v>
      </c>
      <c r="B1245" s="1" t="str">
        <f t="shared" si="32"/>
        <v>02406911202</v>
      </c>
      <c r="C1245" s="1" t="s">
        <v>13</v>
      </c>
      <c r="D1245" s="1" t="s">
        <v>37</v>
      </c>
      <c r="E1245" s="1" t="s">
        <v>2740</v>
      </c>
      <c r="F1245" s="1" t="s">
        <v>431</v>
      </c>
      <c r="G1245" s="1" t="str">
        <f>"02893271201"</f>
        <v>02893271201</v>
      </c>
      <c r="I1245" s="1" t="s">
        <v>2741</v>
      </c>
      <c r="L1245" s="1" t="s">
        <v>44</v>
      </c>
      <c r="M1245" s="1" t="s">
        <v>2742</v>
      </c>
      <c r="AG1245" s="1" t="s">
        <v>124</v>
      </c>
      <c r="AH1245" s="2">
        <v>44947</v>
      </c>
      <c r="AI1245" s="2">
        <v>46407</v>
      </c>
      <c r="AJ1245" s="2">
        <v>44947</v>
      </c>
    </row>
    <row r="1246" spans="1:36">
      <c r="A1246" s="1" t="str">
        <f>"9608772180"</f>
        <v>9608772180</v>
      </c>
      <c r="B1246" s="1" t="str">
        <f t="shared" si="32"/>
        <v>02406911202</v>
      </c>
      <c r="C1246" s="1" t="s">
        <v>13</v>
      </c>
      <c r="D1246" s="1" t="s">
        <v>37</v>
      </c>
      <c r="E1246" s="1" t="s">
        <v>2743</v>
      </c>
      <c r="F1246" s="1" t="s">
        <v>431</v>
      </c>
      <c r="G1246" s="1" t="str">
        <f>"02848620163"</f>
        <v>02848620163</v>
      </c>
      <c r="I1246" s="1" t="s">
        <v>833</v>
      </c>
      <c r="L1246" s="1" t="s">
        <v>44</v>
      </c>
      <c r="M1246" s="1" t="s">
        <v>2744</v>
      </c>
      <c r="AG1246" s="1" t="s">
        <v>124</v>
      </c>
      <c r="AH1246" s="2">
        <v>44947</v>
      </c>
      <c r="AI1246" s="2">
        <v>46407</v>
      </c>
      <c r="AJ1246" s="2">
        <v>44947</v>
      </c>
    </row>
    <row r="1247" spans="1:36">
      <c r="A1247" s="1" t="str">
        <f>"Z3739A2394"</f>
        <v>Z3739A2394</v>
      </c>
      <c r="B1247" s="1" t="str">
        <f t="shared" si="32"/>
        <v>02406911202</v>
      </c>
      <c r="C1247" s="1" t="s">
        <v>13</v>
      </c>
      <c r="D1247" s="1" t="s">
        <v>1257</v>
      </c>
      <c r="E1247" s="1" t="s">
        <v>2745</v>
      </c>
      <c r="F1247" s="1" t="s">
        <v>49</v>
      </c>
      <c r="G1247" s="1" t="str">
        <f>"00506781202"</f>
        <v>00506781202</v>
      </c>
      <c r="I1247" s="1" t="s">
        <v>2426</v>
      </c>
      <c r="L1247" s="1" t="s">
        <v>44</v>
      </c>
      <c r="M1247" s="1" t="s">
        <v>946</v>
      </c>
      <c r="AG1247" s="1" t="s">
        <v>2746</v>
      </c>
      <c r="AH1247" s="2">
        <v>44950</v>
      </c>
      <c r="AI1247" s="2">
        <v>45291</v>
      </c>
      <c r="AJ1247" s="2">
        <v>44950</v>
      </c>
    </row>
    <row r="1248" spans="1:36">
      <c r="A1248" s="1" t="str">
        <f>"Z9439A37BE"</f>
        <v>Z9439A37BE</v>
      </c>
      <c r="B1248" s="1" t="str">
        <f t="shared" si="32"/>
        <v>02406911202</v>
      </c>
      <c r="C1248" s="1" t="s">
        <v>13</v>
      </c>
      <c r="D1248" s="1" t="s">
        <v>1253</v>
      </c>
      <c r="E1248" s="1" t="s">
        <v>1270</v>
      </c>
      <c r="F1248" s="1" t="s">
        <v>49</v>
      </c>
      <c r="G1248" s="1" t="str">
        <f>"08860270969"</f>
        <v>08860270969</v>
      </c>
      <c r="I1248" s="1" t="s">
        <v>2747</v>
      </c>
      <c r="L1248" s="1" t="s">
        <v>44</v>
      </c>
      <c r="M1248" s="1" t="s">
        <v>1255</v>
      </c>
      <c r="AG1248" s="1" t="s">
        <v>2748</v>
      </c>
      <c r="AH1248" s="2">
        <v>44950</v>
      </c>
      <c r="AI1248" s="2">
        <v>45291</v>
      </c>
      <c r="AJ1248" s="2">
        <v>44950</v>
      </c>
    </row>
    <row r="1249" spans="1:36">
      <c r="A1249" s="1" t="str">
        <f>"9596587A1C"</f>
        <v>9596587A1C</v>
      </c>
      <c r="B1249" s="1" t="str">
        <f t="shared" si="32"/>
        <v>02406911202</v>
      </c>
      <c r="C1249" s="1" t="s">
        <v>13</v>
      </c>
      <c r="D1249" s="1" t="s">
        <v>1312</v>
      </c>
      <c r="E1249" s="1" t="s">
        <v>2749</v>
      </c>
      <c r="F1249" s="1" t="s">
        <v>49</v>
      </c>
      <c r="G1249" s="1" t="str">
        <f>"01703181204"</f>
        <v>01703181204</v>
      </c>
      <c r="I1249" s="1" t="s">
        <v>2750</v>
      </c>
      <c r="L1249" s="1" t="s">
        <v>41</v>
      </c>
      <c r="AJ1249" s="2">
        <v>44950</v>
      </c>
    </row>
    <row r="1250" spans="1:36">
      <c r="A1250" s="1" t="str">
        <f>"9596587A1C"</f>
        <v>9596587A1C</v>
      </c>
      <c r="B1250" s="1" t="str">
        <f t="shared" si="32"/>
        <v>02406911202</v>
      </c>
      <c r="C1250" s="1" t="s">
        <v>13</v>
      </c>
      <c r="D1250" s="1" t="s">
        <v>1312</v>
      </c>
      <c r="E1250" s="1" t="s">
        <v>2749</v>
      </c>
      <c r="F1250" s="1" t="s">
        <v>49</v>
      </c>
      <c r="G1250" s="1" t="str">
        <f>"00448610584"</f>
        <v>00448610584</v>
      </c>
      <c r="I1250" s="1" t="s">
        <v>2751</v>
      </c>
      <c r="L1250" s="1" t="s">
        <v>41</v>
      </c>
      <c r="AJ1250" s="2">
        <v>44950</v>
      </c>
    </row>
    <row r="1251" spans="1:36">
      <c r="A1251" s="1" t="str">
        <f>"9596587A1C"</f>
        <v>9596587A1C</v>
      </c>
      <c r="B1251" s="1" t="str">
        <f t="shared" si="32"/>
        <v>02406911202</v>
      </c>
      <c r="C1251" s="1" t="s">
        <v>13</v>
      </c>
      <c r="D1251" s="1" t="s">
        <v>1312</v>
      </c>
      <c r="E1251" s="1" t="s">
        <v>2749</v>
      </c>
      <c r="F1251" s="1" t="s">
        <v>49</v>
      </c>
      <c r="G1251" s="1" t="str">
        <f>"00960900371"</f>
        <v>00960900371</v>
      </c>
      <c r="I1251" s="1" t="s">
        <v>2495</v>
      </c>
      <c r="L1251" s="1" t="s">
        <v>41</v>
      </c>
      <c r="AJ1251" s="2">
        <v>44950</v>
      </c>
    </row>
    <row r="1252" spans="1:36">
      <c r="A1252" s="1" t="str">
        <f>"9596587A1C"</f>
        <v>9596587A1C</v>
      </c>
      <c r="B1252" s="1" t="str">
        <f t="shared" si="32"/>
        <v>02406911202</v>
      </c>
      <c r="C1252" s="1" t="s">
        <v>13</v>
      </c>
      <c r="D1252" s="1" t="s">
        <v>1312</v>
      </c>
      <c r="E1252" s="1" t="s">
        <v>2749</v>
      </c>
      <c r="F1252" s="1" t="s">
        <v>49</v>
      </c>
      <c r="G1252" s="1" t="str">
        <f>"02044501001"</f>
        <v>02044501001</v>
      </c>
      <c r="I1252" s="1" t="s">
        <v>885</v>
      </c>
      <c r="L1252" s="1" t="s">
        <v>44</v>
      </c>
      <c r="M1252" s="1" t="s">
        <v>2752</v>
      </c>
      <c r="AG1252" s="1" t="s">
        <v>2753</v>
      </c>
      <c r="AH1252" s="2">
        <v>44950</v>
      </c>
      <c r="AI1252" s="2">
        <v>45291</v>
      </c>
      <c r="AJ1252" s="2">
        <v>44950</v>
      </c>
    </row>
    <row r="1253" spans="1:36">
      <c r="A1253" s="1" t="str">
        <f>"Z4B39B3699"</f>
        <v>Z4B39B3699</v>
      </c>
      <c r="B1253" s="1" t="str">
        <f t="shared" si="32"/>
        <v>02406911202</v>
      </c>
      <c r="C1253" s="1" t="s">
        <v>13</v>
      </c>
      <c r="D1253" s="1" t="s">
        <v>1253</v>
      </c>
      <c r="E1253" s="1" t="s">
        <v>1317</v>
      </c>
      <c r="F1253" s="1" t="s">
        <v>49</v>
      </c>
      <c r="G1253" s="1" t="str">
        <f>"11570870961"</f>
        <v>11570870961</v>
      </c>
      <c r="I1253" s="1" t="s">
        <v>1597</v>
      </c>
      <c r="L1253" s="1" t="s">
        <v>44</v>
      </c>
      <c r="M1253" s="1" t="s">
        <v>1255</v>
      </c>
      <c r="AG1253" s="1" t="s">
        <v>2754</v>
      </c>
      <c r="AH1253" s="2">
        <v>44953</v>
      </c>
      <c r="AI1253" s="2">
        <v>45291</v>
      </c>
      <c r="AJ1253" s="2">
        <v>44953</v>
      </c>
    </row>
    <row r="1254" spans="1:36">
      <c r="A1254" s="1" t="str">
        <f>"ZDA39B5647"</f>
        <v>ZDA39B5647</v>
      </c>
      <c r="B1254" s="1" t="str">
        <f t="shared" si="32"/>
        <v>02406911202</v>
      </c>
      <c r="C1254" s="1" t="s">
        <v>13</v>
      </c>
      <c r="D1254" s="1" t="s">
        <v>1257</v>
      </c>
      <c r="E1254" s="1" t="s">
        <v>2755</v>
      </c>
      <c r="F1254" s="1" t="s">
        <v>49</v>
      </c>
      <c r="G1254" s="1" t="str">
        <f>"00524830379"</f>
        <v>00524830379</v>
      </c>
      <c r="I1254" s="1" t="s">
        <v>2756</v>
      </c>
      <c r="L1254" s="1" t="s">
        <v>44</v>
      </c>
      <c r="M1254" s="1" t="s">
        <v>103</v>
      </c>
      <c r="AG1254" s="1" t="s">
        <v>2757</v>
      </c>
      <c r="AH1254" s="2">
        <v>44956</v>
      </c>
      <c r="AI1254" s="2">
        <v>45291</v>
      </c>
      <c r="AJ1254" s="2">
        <v>44956</v>
      </c>
    </row>
    <row r="1255" spans="1:36">
      <c r="A1255" s="1" t="str">
        <f>"Z6D39B76AB"</f>
        <v>Z6D39B76AB</v>
      </c>
      <c r="B1255" s="1" t="str">
        <f t="shared" si="32"/>
        <v>02406911202</v>
      </c>
      <c r="C1255" s="1" t="s">
        <v>13</v>
      </c>
      <c r="D1255" s="1" t="s">
        <v>1312</v>
      </c>
      <c r="E1255" s="1" t="s">
        <v>2758</v>
      </c>
      <c r="F1255" s="1" t="s">
        <v>49</v>
      </c>
      <c r="G1255" s="1" t="str">
        <f>"02368211203"</f>
        <v>02368211203</v>
      </c>
      <c r="I1255" s="1" t="s">
        <v>2759</v>
      </c>
      <c r="L1255" s="1" t="s">
        <v>44</v>
      </c>
      <c r="M1255" s="1" t="s">
        <v>1314</v>
      </c>
      <c r="AG1255" s="1" t="s">
        <v>2760</v>
      </c>
      <c r="AH1255" s="2">
        <v>44956</v>
      </c>
      <c r="AI1255" s="2">
        <v>45657</v>
      </c>
      <c r="AJ1255" s="2">
        <v>44956</v>
      </c>
    </row>
    <row r="1256" spans="1:36">
      <c r="A1256" s="1" t="str">
        <f>"Z5439C4F7A"</f>
        <v>Z5439C4F7A</v>
      </c>
      <c r="B1256" s="1" t="str">
        <f t="shared" si="32"/>
        <v>02406911202</v>
      </c>
      <c r="C1256" s="1" t="s">
        <v>13</v>
      </c>
      <c r="D1256" s="1" t="s">
        <v>205</v>
      </c>
      <c r="E1256" s="1" t="s">
        <v>1686</v>
      </c>
      <c r="F1256" s="1" t="s">
        <v>39</v>
      </c>
      <c r="G1256" s="1" t="str">
        <f>"00250900339"</f>
        <v>00250900339</v>
      </c>
      <c r="I1256" s="1" t="s">
        <v>2761</v>
      </c>
      <c r="L1256" s="1" t="s">
        <v>44</v>
      </c>
      <c r="M1256" s="1" t="s">
        <v>509</v>
      </c>
      <c r="AG1256" s="1" t="s">
        <v>124</v>
      </c>
      <c r="AH1256" s="2">
        <v>44927</v>
      </c>
      <c r="AI1256" s="2">
        <v>45291</v>
      </c>
      <c r="AJ1256" s="2">
        <v>44927</v>
      </c>
    </row>
    <row r="1257" spans="1:36">
      <c r="A1257" s="1" t="str">
        <f>"ZF839C4F8F"</f>
        <v>ZF839C4F8F</v>
      </c>
      <c r="B1257" s="1" t="str">
        <f t="shared" si="32"/>
        <v>02406911202</v>
      </c>
      <c r="C1257" s="1" t="s">
        <v>13</v>
      </c>
      <c r="D1257" s="1" t="s">
        <v>205</v>
      </c>
      <c r="E1257" s="1" t="s">
        <v>1686</v>
      </c>
      <c r="F1257" s="1" t="s">
        <v>39</v>
      </c>
      <c r="G1257" s="1" t="str">
        <f>"00211100334"</f>
        <v>00211100334</v>
      </c>
      <c r="I1257" s="1" t="s">
        <v>2762</v>
      </c>
      <c r="L1257" s="1" t="s">
        <v>44</v>
      </c>
      <c r="M1257" s="1" t="s">
        <v>744</v>
      </c>
      <c r="AG1257" s="1" t="s">
        <v>2763</v>
      </c>
      <c r="AH1257" s="2">
        <v>44927</v>
      </c>
      <c r="AI1257" s="2">
        <v>45291</v>
      </c>
      <c r="AJ1257" s="2">
        <v>44927</v>
      </c>
    </row>
    <row r="1258" spans="1:36">
      <c r="A1258" s="1" t="str">
        <f>"Z8439C4FAB"</f>
        <v>Z8439C4FAB</v>
      </c>
      <c r="B1258" s="1" t="str">
        <f t="shared" si="32"/>
        <v>02406911202</v>
      </c>
      <c r="C1258" s="1" t="s">
        <v>13</v>
      </c>
      <c r="D1258" s="1" t="s">
        <v>205</v>
      </c>
      <c r="E1258" s="1" t="s">
        <v>1686</v>
      </c>
      <c r="F1258" s="1" t="s">
        <v>39</v>
      </c>
      <c r="G1258" s="1" t="str">
        <f>"00305320343"</f>
        <v>00305320343</v>
      </c>
      <c r="I1258" s="1" t="s">
        <v>2764</v>
      </c>
      <c r="L1258" s="1" t="s">
        <v>44</v>
      </c>
      <c r="M1258" s="1" t="s">
        <v>2765</v>
      </c>
      <c r="AG1258" s="1" t="s">
        <v>124</v>
      </c>
      <c r="AH1258" s="2">
        <v>44927</v>
      </c>
      <c r="AI1258" s="2">
        <v>45291</v>
      </c>
      <c r="AJ1258" s="2">
        <v>44927</v>
      </c>
    </row>
    <row r="1259" spans="1:36">
      <c r="A1259" s="1" t="str">
        <f>"ZB039D587D"</f>
        <v>ZB039D587D</v>
      </c>
      <c r="B1259" s="1" t="str">
        <f t="shared" si="32"/>
        <v>02406911202</v>
      </c>
      <c r="C1259" s="1" t="s">
        <v>13</v>
      </c>
      <c r="D1259" s="1" t="s">
        <v>1312</v>
      </c>
      <c r="E1259" s="1" t="s">
        <v>2766</v>
      </c>
      <c r="F1259" s="1" t="s">
        <v>49</v>
      </c>
      <c r="G1259" s="1" t="str">
        <f>"02405040284"</f>
        <v>02405040284</v>
      </c>
      <c r="I1259" s="1" t="s">
        <v>1473</v>
      </c>
      <c r="L1259" s="1" t="s">
        <v>44</v>
      </c>
      <c r="M1259" s="1" t="s">
        <v>1314</v>
      </c>
      <c r="AG1259" s="1" t="s">
        <v>2767</v>
      </c>
      <c r="AH1259" s="2">
        <v>44963</v>
      </c>
      <c r="AI1259" s="2">
        <v>46022</v>
      </c>
      <c r="AJ1259" s="2">
        <v>44963</v>
      </c>
    </row>
    <row r="1260" spans="1:36">
      <c r="A1260" s="1" t="str">
        <f>"9639770DD8"</f>
        <v>9639770DD8</v>
      </c>
      <c r="B1260" s="1" t="str">
        <f t="shared" si="32"/>
        <v>02406911202</v>
      </c>
      <c r="C1260" s="1" t="s">
        <v>13</v>
      </c>
      <c r="D1260" s="1" t="s">
        <v>37</v>
      </c>
      <c r="E1260" s="1" t="s">
        <v>1672</v>
      </c>
      <c r="F1260" s="1" t="s">
        <v>117</v>
      </c>
      <c r="G1260" s="1" t="str">
        <f>"05688870483"</f>
        <v>05688870483</v>
      </c>
      <c r="I1260" s="1" t="s">
        <v>264</v>
      </c>
      <c r="L1260" s="1" t="s">
        <v>44</v>
      </c>
      <c r="M1260" s="1" t="s">
        <v>266</v>
      </c>
      <c r="AG1260" s="1" t="s">
        <v>2768</v>
      </c>
      <c r="AH1260" s="2">
        <v>44966</v>
      </c>
      <c r="AI1260" s="2">
        <v>45046</v>
      </c>
      <c r="AJ1260" s="2">
        <v>44966</v>
      </c>
    </row>
    <row r="1261" spans="1:36">
      <c r="A1261" s="1" t="str">
        <f>"9639829E88"</f>
        <v>9639829E88</v>
      </c>
      <c r="B1261" s="1" t="str">
        <f t="shared" si="32"/>
        <v>02406911202</v>
      </c>
      <c r="C1261" s="1" t="s">
        <v>13</v>
      </c>
      <c r="D1261" s="1" t="s">
        <v>37</v>
      </c>
      <c r="E1261" s="1" t="s">
        <v>1672</v>
      </c>
      <c r="F1261" s="1" t="s">
        <v>117</v>
      </c>
      <c r="G1261" s="1" t="str">
        <f>"13522771008"</f>
        <v>13522771008</v>
      </c>
      <c r="I1261" s="1" t="s">
        <v>271</v>
      </c>
      <c r="L1261" s="1" t="s">
        <v>44</v>
      </c>
      <c r="M1261" s="1" t="s">
        <v>273</v>
      </c>
      <c r="AG1261" s="1" t="s">
        <v>2769</v>
      </c>
      <c r="AH1261" s="2">
        <v>44966</v>
      </c>
      <c r="AI1261" s="2">
        <v>45046</v>
      </c>
      <c r="AJ1261" s="2">
        <v>44966</v>
      </c>
    </row>
    <row r="1262" spans="1:36">
      <c r="A1262" s="1" t="str">
        <f>"9639904C6D"</f>
        <v>9639904C6D</v>
      </c>
      <c r="B1262" s="1" t="str">
        <f t="shared" si="32"/>
        <v>02406911202</v>
      </c>
      <c r="C1262" s="1" t="s">
        <v>13</v>
      </c>
      <c r="D1262" s="1" t="s">
        <v>37</v>
      </c>
      <c r="E1262" s="1" t="s">
        <v>1672</v>
      </c>
      <c r="F1262" s="1" t="s">
        <v>117</v>
      </c>
      <c r="G1262" s="1" t="str">
        <f>"10338640963"</f>
        <v>10338640963</v>
      </c>
      <c r="I1262" s="1" t="s">
        <v>278</v>
      </c>
      <c r="L1262" s="1" t="s">
        <v>44</v>
      </c>
      <c r="M1262" s="1" t="s">
        <v>280</v>
      </c>
      <c r="AG1262" s="1" t="s">
        <v>2770</v>
      </c>
      <c r="AH1262" s="2">
        <v>44966</v>
      </c>
      <c r="AI1262" s="2">
        <v>45046</v>
      </c>
      <c r="AJ1262" s="2">
        <v>44966</v>
      </c>
    </row>
    <row r="1263" spans="1:36">
      <c r="A1263" s="1" t="str">
        <f>"9611352295"</f>
        <v>9611352295</v>
      </c>
      <c r="B1263" s="1" t="str">
        <f t="shared" si="32"/>
        <v>02406911202</v>
      </c>
      <c r="C1263" s="1" t="s">
        <v>13</v>
      </c>
      <c r="D1263" s="1" t="s">
        <v>37</v>
      </c>
      <c r="E1263" s="1" t="s">
        <v>2771</v>
      </c>
      <c r="F1263" s="1" t="s">
        <v>117</v>
      </c>
      <c r="G1263" s="1" t="str">
        <f>"00832400154"</f>
        <v>00832400154</v>
      </c>
      <c r="I1263" s="1" t="s">
        <v>285</v>
      </c>
      <c r="L1263" s="1" t="s">
        <v>44</v>
      </c>
      <c r="M1263" s="1" t="s">
        <v>2772</v>
      </c>
      <c r="AG1263" s="1" t="s">
        <v>2773</v>
      </c>
      <c r="AH1263" s="2">
        <v>44943</v>
      </c>
      <c r="AI1263" s="2">
        <v>46022</v>
      </c>
      <c r="AJ1263" s="2">
        <v>44943</v>
      </c>
    </row>
    <row r="1264" spans="1:36">
      <c r="A1264" s="1" t="str">
        <f>"Z393A4E546"</f>
        <v>Z393A4E546</v>
      </c>
      <c r="B1264" s="1" t="str">
        <f t="shared" si="32"/>
        <v>02406911202</v>
      </c>
      <c r="C1264" s="1" t="s">
        <v>13</v>
      </c>
      <c r="D1264" s="1" t="s">
        <v>205</v>
      </c>
      <c r="E1264" s="1" t="s">
        <v>1686</v>
      </c>
      <c r="F1264" s="1" t="s">
        <v>39</v>
      </c>
      <c r="G1264" s="1" t="str">
        <f>"03862010406"</f>
        <v>03862010406</v>
      </c>
      <c r="I1264" s="1" t="s">
        <v>2774</v>
      </c>
      <c r="L1264" s="1" t="s">
        <v>44</v>
      </c>
      <c r="M1264" s="1" t="s">
        <v>509</v>
      </c>
      <c r="AG1264" s="1" t="s">
        <v>124</v>
      </c>
      <c r="AH1264" s="2">
        <v>44927</v>
      </c>
      <c r="AI1264" s="2">
        <v>45291</v>
      </c>
      <c r="AJ1264" s="2">
        <v>44927</v>
      </c>
    </row>
    <row r="1265" spans="1:36">
      <c r="A1265" s="1" t="str">
        <f>"ZB53A4E657"</f>
        <v>ZB53A4E657</v>
      </c>
      <c r="B1265" s="1" t="str">
        <f t="shared" si="32"/>
        <v>02406911202</v>
      </c>
      <c r="C1265" s="1" t="s">
        <v>13</v>
      </c>
      <c r="D1265" s="1" t="s">
        <v>205</v>
      </c>
      <c r="E1265" s="1" t="s">
        <v>1686</v>
      </c>
      <c r="F1265" s="1" t="s">
        <v>39</v>
      </c>
      <c r="G1265" s="1" t="str">
        <f>"03351270404"</f>
        <v>03351270404</v>
      </c>
      <c r="I1265" s="1" t="s">
        <v>2775</v>
      </c>
      <c r="L1265" s="1" t="s">
        <v>44</v>
      </c>
      <c r="M1265" s="1" t="s">
        <v>917</v>
      </c>
      <c r="AG1265" s="1" t="s">
        <v>124</v>
      </c>
      <c r="AH1265" s="2">
        <v>44927</v>
      </c>
      <c r="AI1265" s="2">
        <v>45291</v>
      </c>
      <c r="AJ1265" s="2">
        <v>44927</v>
      </c>
    </row>
    <row r="1266" spans="1:36">
      <c r="A1266" s="1" t="str">
        <f>"Z333A4E699"</f>
        <v>Z333A4E699</v>
      </c>
      <c r="B1266" s="1" t="str">
        <f t="shared" si="32"/>
        <v>02406911202</v>
      </c>
      <c r="C1266" s="1" t="s">
        <v>13</v>
      </c>
      <c r="D1266" s="1" t="s">
        <v>205</v>
      </c>
      <c r="E1266" s="1" t="s">
        <v>1686</v>
      </c>
      <c r="F1266" s="1" t="s">
        <v>39</v>
      </c>
      <c r="G1266" s="1" t="str">
        <f>"03438220265"</f>
        <v>03438220265</v>
      </c>
      <c r="I1266" s="1" t="s">
        <v>2776</v>
      </c>
      <c r="L1266" s="1" t="s">
        <v>44</v>
      </c>
      <c r="M1266" s="1" t="s">
        <v>917</v>
      </c>
      <c r="AG1266" s="1" t="s">
        <v>124</v>
      </c>
      <c r="AH1266" s="2">
        <v>44927</v>
      </c>
      <c r="AI1266" s="2">
        <v>45291</v>
      </c>
      <c r="AJ1266" s="2">
        <v>44927</v>
      </c>
    </row>
    <row r="1267" spans="1:36">
      <c r="A1267" s="1" t="str">
        <f>"9712460F87"</f>
        <v>9712460F87</v>
      </c>
      <c r="B1267" s="1" t="str">
        <f t="shared" si="32"/>
        <v>02406911202</v>
      </c>
      <c r="C1267" s="1" t="s">
        <v>13</v>
      </c>
      <c r="D1267" s="1" t="s">
        <v>37</v>
      </c>
      <c r="E1267" s="1" t="s">
        <v>2777</v>
      </c>
      <c r="F1267" s="1" t="s">
        <v>117</v>
      </c>
      <c r="G1267" s="1" t="str">
        <f>"08862820969"</f>
        <v>08862820969</v>
      </c>
      <c r="I1267" s="1" t="s">
        <v>146</v>
      </c>
      <c r="L1267" s="1" t="s">
        <v>44</v>
      </c>
      <c r="M1267" s="1" t="s">
        <v>329</v>
      </c>
      <c r="AG1267" s="1" t="s">
        <v>2778</v>
      </c>
      <c r="AH1267" s="2">
        <v>45002</v>
      </c>
      <c r="AI1267" s="2">
        <v>45367</v>
      </c>
      <c r="AJ1267" s="2">
        <v>45002</v>
      </c>
    </row>
    <row r="1268" spans="1:36">
      <c r="A1268" s="1" t="str">
        <f>"ZC43A68E06"</f>
        <v>ZC43A68E06</v>
      </c>
      <c r="B1268" s="1" t="str">
        <f t="shared" si="32"/>
        <v>02406911202</v>
      </c>
      <c r="C1268" s="1" t="s">
        <v>13</v>
      </c>
      <c r="D1268" s="1" t="s">
        <v>205</v>
      </c>
      <c r="E1268" s="1" t="s">
        <v>2779</v>
      </c>
      <c r="F1268" s="1" t="s">
        <v>39</v>
      </c>
      <c r="G1268" s="1" t="str">
        <f>"02202680407"</f>
        <v>02202680407</v>
      </c>
      <c r="I1268" s="1" t="s">
        <v>2780</v>
      </c>
      <c r="L1268" s="1" t="s">
        <v>44</v>
      </c>
      <c r="M1268" s="1" t="s">
        <v>2739</v>
      </c>
      <c r="AG1268" s="1" t="s">
        <v>2781</v>
      </c>
      <c r="AH1268" s="2">
        <v>44927</v>
      </c>
      <c r="AI1268" s="2">
        <v>45291</v>
      </c>
      <c r="AJ1268" s="2">
        <v>44927</v>
      </c>
    </row>
    <row r="1269" spans="1:36">
      <c r="A1269" s="1" t="str">
        <f>"Z633A68F55"</f>
        <v>Z633A68F55</v>
      </c>
      <c r="B1269" s="1" t="str">
        <f t="shared" si="32"/>
        <v>02406911202</v>
      </c>
      <c r="C1269" s="1" t="s">
        <v>13</v>
      </c>
      <c r="D1269" s="1" t="s">
        <v>205</v>
      </c>
      <c r="E1269" s="1" t="s">
        <v>2782</v>
      </c>
      <c r="F1269" s="1" t="s">
        <v>39</v>
      </c>
      <c r="G1269" s="1" t="str">
        <f>"03848961201"</f>
        <v>03848961201</v>
      </c>
      <c r="I1269" s="1" t="s">
        <v>2783</v>
      </c>
      <c r="L1269" s="1" t="s">
        <v>44</v>
      </c>
      <c r="M1269" s="1" t="s">
        <v>2739</v>
      </c>
      <c r="AG1269" s="1" t="s">
        <v>2784</v>
      </c>
      <c r="AH1269" s="2">
        <v>44927</v>
      </c>
      <c r="AI1269" s="2">
        <v>45291</v>
      </c>
      <c r="AJ1269" s="2">
        <v>44927</v>
      </c>
    </row>
    <row r="1270" spans="1:36">
      <c r="A1270" s="1" t="str">
        <f>"Z413A693E5"</f>
        <v>Z413A693E5</v>
      </c>
      <c r="B1270" s="1" t="str">
        <f t="shared" si="32"/>
        <v>02406911202</v>
      </c>
      <c r="C1270" s="1" t="s">
        <v>13</v>
      </c>
      <c r="D1270" s="1" t="s">
        <v>1312</v>
      </c>
      <c r="E1270" s="1" t="s">
        <v>2785</v>
      </c>
      <c r="F1270" s="1" t="s">
        <v>49</v>
      </c>
      <c r="G1270" s="1" t="str">
        <f>"00628161200"</f>
        <v>00628161200</v>
      </c>
      <c r="I1270" s="1" t="s">
        <v>2786</v>
      </c>
      <c r="L1270" s="1" t="s">
        <v>44</v>
      </c>
      <c r="M1270" s="1" t="s">
        <v>1735</v>
      </c>
      <c r="AG1270" s="1" t="s">
        <v>2787</v>
      </c>
      <c r="AH1270" s="2">
        <v>45001</v>
      </c>
      <c r="AI1270" s="2">
        <v>45291</v>
      </c>
      <c r="AJ1270" s="2">
        <v>45001</v>
      </c>
    </row>
    <row r="1271" spans="1:36">
      <c r="A1271" s="1" t="str">
        <f>"ZC239C0C0F"</f>
        <v>ZC239C0C0F</v>
      </c>
      <c r="B1271" s="1" t="str">
        <f t="shared" si="32"/>
        <v>02406911202</v>
      </c>
      <c r="C1271" s="1" t="s">
        <v>13</v>
      </c>
      <c r="D1271" s="1" t="s">
        <v>1253</v>
      </c>
      <c r="E1271" s="1" t="s">
        <v>1254</v>
      </c>
      <c r="F1271" s="1" t="s">
        <v>49</v>
      </c>
      <c r="G1271" s="1" t="str">
        <f>"02173550282"</f>
        <v>02173550282</v>
      </c>
      <c r="I1271" s="1" t="s">
        <v>634</v>
      </c>
      <c r="L1271" s="1" t="s">
        <v>44</v>
      </c>
      <c r="M1271" s="1" t="s">
        <v>1255</v>
      </c>
      <c r="AG1271" s="1" t="s">
        <v>2788</v>
      </c>
      <c r="AH1271" s="2">
        <v>44958</v>
      </c>
      <c r="AI1271" s="2">
        <v>45291</v>
      </c>
      <c r="AJ1271" s="2">
        <v>44958</v>
      </c>
    </row>
    <row r="1272" spans="1:36">
      <c r="A1272" s="1" t="str">
        <f>"ZBA39C0BDD"</f>
        <v>ZBA39C0BDD</v>
      </c>
      <c r="B1272" s="1" t="str">
        <f t="shared" si="32"/>
        <v>02406911202</v>
      </c>
      <c r="C1272" s="1" t="s">
        <v>13</v>
      </c>
      <c r="D1272" s="1" t="s">
        <v>1253</v>
      </c>
      <c r="E1272" s="1" t="s">
        <v>1260</v>
      </c>
      <c r="F1272" s="1" t="s">
        <v>49</v>
      </c>
      <c r="G1272" s="1" t="str">
        <f>"02082760261"</f>
        <v>02082760261</v>
      </c>
      <c r="I1272" s="1" t="s">
        <v>2403</v>
      </c>
      <c r="L1272" s="1" t="s">
        <v>44</v>
      </c>
      <c r="M1272" s="1" t="s">
        <v>1255</v>
      </c>
      <c r="AG1272" s="1" t="s">
        <v>2789</v>
      </c>
      <c r="AH1272" s="2">
        <v>44958</v>
      </c>
      <c r="AI1272" s="2">
        <v>45291</v>
      </c>
      <c r="AJ1272" s="2">
        <v>44958</v>
      </c>
    </row>
    <row r="1273" spans="1:36">
      <c r="A1273" s="1" t="str">
        <f>"ZA23A0DFA6"</f>
        <v>ZA23A0DFA6</v>
      </c>
      <c r="B1273" s="1" t="str">
        <f t="shared" si="32"/>
        <v>02406911202</v>
      </c>
      <c r="C1273" s="1" t="s">
        <v>13</v>
      </c>
      <c r="D1273" s="1" t="s">
        <v>205</v>
      </c>
      <c r="E1273" s="1" t="s">
        <v>1686</v>
      </c>
      <c r="F1273" s="1" t="s">
        <v>39</v>
      </c>
      <c r="G1273" s="1" t="str">
        <f>"02363180403"</f>
        <v>02363180403</v>
      </c>
      <c r="I1273" s="1" t="s">
        <v>1680</v>
      </c>
      <c r="L1273" s="1" t="s">
        <v>44</v>
      </c>
      <c r="M1273" s="1" t="s">
        <v>917</v>
      </c>
      <c r="AG1273" s="1" t="s">
        <v>124</v>
      </c>
      <c r="AH1273" s="2">
        <v>44927</v>
      </c>
      <c r="AI1273" s="2">
        <v>45291</v>
      </c>
      <c r="AJ1273" s="2">
        <v>44927</v>
      </c>
    </row>
    <row r="1274" spans="1:36">
      <c r="A1274" s="1" t="str">
        <f>"Z3C3A0DEA1"</f>
        <v>Z3C3A0DEA1</v>
      </c>
      <c r="B1274" s="1" t="str">
        <f t="shared" si="32"/>
        <v>02406911202</v>
      </c>
      <c r="C1274" s="1" t="s">
        <v>13</v>
      </c>
      <c r="D1274" s="1" t="s">
        <v>205</v>
      </c>
      <c r="E1274" s="1" t="s">
        <v>1686</v>
      </c>
      <c r="F1274" s="1" t="s">
        <v>39</v>
      </c>
      <c r="G1274" s="1" t="str">
        <f>"02666500406"</f>
        <v>02666500406</v>
      </c>
      <c r="I1274" s="1" t="s">
        <v>2790</v>
      </c>
      <c r="L1274" s="1" t="s">
        <v>44</v>
      </c>
      <c r="M1274" s="1" t="s">
        <v>917</v>
      </c>
      <c r="AG1274" s="1" t="s">
        <v>124</v>
      </c>
      <c r="AH1274" s="2">
        <v>44927</v>
      </c>
      <c r="AI1274" s="2">
        <v>45291</v>
      </c>
      <c r="AJ1274" s="2">
        <v>44927</v>
      </c>
    </row>
    <row r="1275" spans="1:36">
      <c r="A1275" s="1" t="str">
        <f>"Z423A4E2CC"</f>
        <v>Z423A4E2CC</v>
      </c>
      <c r="B1275" s="1" t="str">
        <f t="shared" si="32"/>
        <v>02406911202</v>
      </c>
      <c r="C1275" s="1" t="s">
        <v>13</v>
      </c>
      <c r="D1275" s="1" t="s">
        <v>205</v>
      </c>
      <c r="E1275" s="1" t="s">
        <v>1686</v>
      </c>
      <c r="F1275" s="1" t="s">
        <v>39</v>
      </c>
      <c r="G1275" s="1" t="str">
        <f>"01711890341"</f>
        <v>01711890341</v>
      </c>
      <c r="I1275" s="1" t="s">
        <v>2791</v>
      </c>
      <c r="L1275" s="1" t="s">
        <v>44</v>
      </c>
      <c r="M1275" s="1" t="s">
        <v>917</v>
      </c>
      <c r="AG1275" s="1" t="s">
        <v>124</v>
      </c>
      <c r="AH1275" s="2">
        <v>44927</v>
      </c>
      <c r="AI1275" s="2">
        <v>45291</v>
      </c>
      <c r="AJ1275" s="2">
        <v>44927</v>
      </c>
    </row>
    <row r="1276" spans="1:36">
      <c r="A1276" s="1" t="str">
        <f>"ZAD3A0E0A7"</f>
        <v>ZAD3A0E0A7</v>
      </c>
      <c r="B1276" s="1" t="str">
        <f t="shared" si="32"/>
        <v>02406911202</v>
      </c>
      <c r="C1276" s="1" t="s">
        <v>13</v>
      </c>
      <c r="D1276" s="1" t="s">
        <v>205</v>
      </c>
      <c r="E1276" s="1" t="s">
        <v>1686</v>
      </c>
      <c r="F1276" s="1" t="s">
        <v>39</v>
      </c>
      <c r="G1276" s="1" t="str">
        <f>"00603960360"</f>
        <v>00603960360</v>
      </c>
      <c r="I1276" s="1" t="s">
        <v>2792</v>
      </c>
      <c r="L1276" s="1" t="s">
        <v>44</v>
      </c>
      <c r="M1276" s="1" t="s">
        <v>917</v>
      </c>
      <c r="AG1276" s="1" t="s">
        <v>124</v>
      </c>
      <c r="AH1276" s="2">
        <v>44927</v>
      </c>
      <c r="AI1276" s="2">
        <v>45291</v>
      </c>
      <c r="AJ1276" s="2">
        <v>44927</v>
      </c>
    </row>
    <row r="1277" spans="1:36">
      <c r="A1277" s="1" t="str">
        <f>"Z743A4E191"</f>
        <v>Z743A4E191</v>
      </c>
      <c r="B1277" s="1" t="str">
        <f t="shared" si="32"/>
        <v>02406911202</v>
      </c>
      <c r="C1277" s="1" t="s">
        <v>13</v>
      </c>
      <c r="D1277" s="1" t="s">
        <v>205</v>
      </c>
      <c r="E1277" s="1" t="s">
        <v>1686</v>
      </c>
      <c r="F1277" s="1" t="s">
        <v>39</v>
      </c>
      <c r="G1277" s="1" t="str">
        <f>"02846000616"</f>
        <v>02846000616</v>
      </c>
      <c r="I1277" s="1" t="s">
        <v>2793</v>
      </c>
      <c r="L1277" s="1" t="s">
        <v>44</v>
      </c>
      <c r="M1277" s="1" t="s">
        <v>638</v>
      </c>
      <c r="AG1277" s="1" t="s">
        <v>2794</v>
      </c>
      <c r="AH1277" s="2">
        <v>44927</v>
      </c>
      <c r="AI1277" s="2">
        <v>45291</v>
      </c>
      <c r="AJ1277" s="2">
        <v>44927</v>
      </c>
    </row>
    <row r="1278" spans="1:36">
      <c r="A1278" s="1" t="str">
        <f>"Z5E3A4FA08"</f>
        <v>Z5E3A4FA08</v>
      </c>
      <c r="B1278" s="1" t="str">
        <f t="shared" si="32"/>
        <v>02406911202</v>
      </c>
      <c r="C1278" s="1" t="s">
        <v>13</v>
      </c>
      <c r="D1278" s="1" t="s">
        <v>1253</v>
      </c>
      <c r="E1278" s="1" t="s">
        <v>1270</v>
      </c>
      <c r="F1278" s="1" t="s">
        <v>49</v>
      </c>
      <c r="G1278" s="1" t="str">
        <f>"10767630154"</f>
        <v>10767630154</v>
      </c>
      <c r="I1278" s="1" t="s">
        <v>2429</v>
      </c>
      <c r="L1278" s="1" t="s">
        <v>44</v>
      </c>
      <c r="M1278" s="1" t="s">
        <v>1255</v>
      </c>
      <c r="AG1278" s="1" t="s">
        <v>2795</v>
      </c>
      <c r="AH1278" s="2">
        <v>44994</v>
      </c>
      <c r="AI1278" s="2">
        <v>45291</v>
      </c>
      <c r="AJ1278" s="2">
        <v>44994</v>
      </c>
    </row>
    <row r="1279" spans="1:36">
      <c r="A1279" s="1" t="str">
        <f>"9588023EDE"</f>
        <v>9588023EDE</v>
      </c>
      <c r="B1279" s="1" t="str">
        <f t="shared" si="32"/>
        <v>02406911202</v>
      </c>
      <c r="C1279" s="1" t="s">
        <v>13</v>
      </c>
      <c r="D1279" s="1" t="s">
        <v>37</v>
      </c>
      <c r="E1279" s="1" t="s">
        <v>2796</v>
      </c>
      <c r="F1279" s="1" t="s">
        <v>117</v>
      </c>
      <c r="G1279" s="1" t="str">
        <f>"01725500233"</f>
        <v>01725500233</v>
      </c>
      <c r="I1279" s="1" t="s">
        <v>2797</v>
      </c>
      <c r="L1279" s="1" t="s">
        <v>44</v>
      </c>
      <c r="M1279" s="1" t="s">
        <v>2798</v>
      </c>
      <c r="AG1279" s="1" t="s">
        <v>2799</v>
      </c>
      <c r="AH1279" s="2">
        <v>45047</v>
      </c>
      <c r="AI1279" s="2">
        <v>46873</v>
      </c>
      <c r="AJ1279" s="2">
        <v>45047</v>
      </c>
    </row>
    <row r="1280" spans="1:36">
      <c r="A1280" s="1" t="str">
        <f>"ZD43968E04"</f>
        <v>ZD43968E04</v>
      </c>
      <c r="B1280" s="1" t="str">
        <f t="shared" si="32"/>
        <v>02406911202</v>
      </c>
      <c r="C1280" s="1" t="s">
        <v>13</v>
      </c>
      <c r="D1280" s="1" t="s">
        <v>37</v>
      </c>
      <c r="E1280" s="1" t="s">
        <v>2800</v>
      </c>
      <c r="F1280" s="1" t="s">
        <v>117</v>
      </c>
      <c r="G1280" s="1" t="str">
        <f>"01725500233"</f>
        <v>01725500233</v>
      </c>
      <c r="I1280" s="1" t="s">
        <v>2797</v>
      </c>
      <c r="L1280" s="1" t="s">
        <v>44</v>
      </c>
      <c r="M1280" s="1" t="s">
        <v>2801</v>
      </c>
      <c r="AG1280" s="1" t="s">
        <v>124</v>
      </c>
      <c r="AH1280" s="2">
        <v>45047</v>
      </c>
      <c r="AI1280" s="2">
        <v>46873</v>
      </c>
      <c r="AJ1280" s="2">
        <v>45047</v>
      </c>
    </row>
    <row r="1281" spans="1:36">
      <c r="A1281" s="1" t="str">
        <f>"9555689405"</f>
        <v>9555689405</v>
      </c>
      <c r="B1281" s="1" t="str">
        <f t="shared" si="32"/>
        <v>02406911202</v>
      </c>
      <c r="C1281" s="1" t="s">
        <v>13</v>
      </c>
      <c r="D1281" s="1" t="s">
        <v>37</v>
      </c>
      <c r="E1281" s="1" t="s">
        <v>2802</v>
      </c>
      <c r="F1281" s="1" t="s">
        <v>39</v>
      </c>
      <c r="G1281" s="1" t="str">
        <f>"03043241201"</f>
        <v>03043241201</v>
      </c>
      <c r="I1281" s="1" t="s">
        <v>1805</v>
      </c>
      <c r="L1281" s="1" t="s">
        <v>44</v>
      </c>
      <c r="M1281" s="1" t="s">
        <v>2803</v>
      </c>
      <c r="AG1281" s="1" t="s">
        <v>124</v>
      </c>
      <c r="AH1281" s="2">
        <v>44986</v>
      </c>
      <c r="AI1281" s="2">
        <v>45351</v>
      </c>
      <c r="AJ1281" s="2">
        <v>44986</v>
      </c>
    </row>
    <row r="1282" spans="1:36">
      <c r="A1282" s="1" t="str">
        <f>"Z0B3A5AF99"</f>
        <v>Z0B3A5AF99</v>
      </c>
      <c r="B1282" s="1" t="str">
        <f t="shared" si="32"/>
        <v>02406911202</v>
      </c>
      <c r="C1282" s="1" t="s">
        <v>13</v>
      </c>
      <c r="D1282" s="1" t="s">
        <v>1741</v>
      </c>
      <c r="E1282" s="1" t="s">
        <v>2804</v>
      </c>
      <c r="F1282" s="1" t="s">
        <v>49</v>
      </c>
      <c r="G1282" s="1" t="str">
        <f>"02313821007"</f>
        <v>02313821007</v>
      </c>
      <c r="I1282" s="1" t="s">
        <v>2805</v>
      </c>
      <c r="L1282" s="1" t="s">
        <v>44</v>
      </c>
      <c r="M1282" s="1" t="s">
        <v>2806</v>
      </c>
      <c r="AG1282" s="1" t="s">
        <v>124</v>
      </c>
      <c r="AH1282" s="2">
        <v>44999</v>
      </c>
      <c r="AI1282" s="2">
        <v>45291</v>
      </c>
      <c r="AJ1282" s="2">
        <v>44999</v>
      </c>
    </row>
    <row r="1283" spans="1:36">
      <c r="A1283" s="1" t="str">
        <f>"Z813968E32"</f>
        <v>Z813968E32</v>
      </c>
      <c r="B1283" s="1" t="str">
        <f t="shared" si="32"/>
        <v>02406911202</v>
      </c>
      <c r="C1283" s="1" t="s">
        <v>13</v>
      </c>
      <c r="D1283" s="1" t="s">
        <v>37</v>
      </c>
      <c r="E1283" s="1" t="s">
        <v>2807</v>
      </c>
      <c r="F1283" s="1" t="s">
        <v>117</v>
      </c>
      <c r="G1283" s="1" t="str">
        <f>"01725500233"</f>
        <v>01725500233</v>
      </c>
      <c r="I1283" s="1" t="s">
        <v>2797</v>
      </c>
      <c r="L1283" s="1" t="s">
        <v>44</v>
      </c>
      <c r="M1283" s="1" t="s">
        <v>2808</v>
      </c>
      <c r="AG1283" s="1" t="s">
        <v>124</v>
      </c>
      <c r="AH1283" s="2">
        <v>45047</v>
      </c>
      <c r="AI1283" s="2">
        <v>46873</v>
      </c>
      <c r="AJ1283" s="2">
        <v>45047</v>
      </c>
    </row>
    <row r="1284" spans="1:36">
      <c r="A1284" s="1" t="str">
        <f>"971774158F"</f>
        <v>971774158F</v>
      </c>
      <c r="B1284" s="1" t="str">
        <f t="shared" si="32"/>
        <v>02406911202</v>
      </c>
      <c r="C1284" s="1" t="s">
        <v>13</v>
      </c>
      <c r="D1284" s="1" t="s">
        <v>205</v>
      </c>
      <c r="E1284" s="1" t="s">
        <v>2809</v>
      </c>
      <c r="F1284" s="1" t="s">
        <v>49</v>
      </c>
      <c r="G1284" s="1" t="str">
        <f>"03905171207"</f>
        <v>03905171207</v>
      </c>
      <c r="I1284" s="1" t="s">
        <v>2274</v>
      </c>
      <c r="L1284" s="1" t="s">
        <v>44</v>
      </c>
      <c r="M1284" s="1" t="s">
        <v>2810</v>
      </c>
      <c r="AG1284" s="1" t="s">
        <v>2811</v>
      </c>
      <c r="AH1284" s="2">
        <v>45005</v>
      </c>
      <c r="AI1284" s="2">
        <v>45291</v>
      </c>
      <c r="AJ1284" s="2">
        <v>45005</v>
      </c>
    </row>
    <row r="1285" spans="1:36">
      <c r="A1285" s="1" t="str">
        <f>"ZF43A47ACD"</f>
        <v>ZF43A47ACD</v>
      </c>
      <c r="B1285" s="1" t="str">
        <f t="shared" si="32"/>
        <v>02406911202</v>
      </c>
      <c r="C1285" s="1" t="s">
        <v>13</v>
      </c>
      <c r="D1285" s="1" t="s">
        <v>1253</v>
      </c>
      <c r="E1285" s="1" t="s">
        <v>1317</v>
      </c>
      <c r="F1285" s="1" t="s">
        <v>49</v>
      </c>
      <c r="G1285" s="1" t="str">
        <f>"00207810284"</f>
        <v>00207810284</v>
      </c>
      <c r="I1285" s="1" t="s">
        <v>2812</v>
      </c>
      <c r="L1285" s="1" t="s">
        <v>44</v>
      </c>
      <c r="M1285" s="1" t="s">
        <v>1255</v>
      </c>
      <c r="AG1285" s="1" t="s">
        <v>2813</v>
      </c>
      <c r="AH1285" s="2">
        <v>45002</v>
      </c>
      <c r="AI1285" s="2">
        <v>45291</v>
      </c>
      <c r="AJ1285" s="2">
        <v>45002</v>
      </c>
    </row>
    <row r="1286" spans="1:36">
      <c r="A1286" s="1" t="str">
        <f>"ZE03A5339F"</f>
        <v>ZE03A5339F</v>
      </c>
      <c r="B1286" s="1" t="str">
        <f t="shared" ref="B1286:B1349" si="33">"02406911202"</f>
        <v>02406911202</v>
      </c>
      <c r="C1286" s="1" t="s">
        <v>13</v>
      </c>
      <c r="D1286" s="1" t="s">
        <v>1253</v>
      </c>
      <c r="E1286" s="1" t="s">
        <v>1317</v>
      </c>
      <c r="F1286" s="1" t="s">
        <v>49</v>
      </c>
      <c r="G1286" s="1" t="str">
        <f>"02123550200"</f>
        <v>02123550200</v>
      </c>
      <c r="I1286" s="1" t="s">
        <v>1286</v>
      </c>
      <c r="L1286" s="1" t="s">
        <v>44</v>
      </c>
      <c r="M1286" s="1" t="s">
        <v>1255</v>
      </c>
      <c r="AG1286" s="1" t="s">
        <v>2814</v>
      </c>
      <c r="AH1286" s="2">
        <v>45002</v>
      </c>
      <c r="AI1286" s="2">
        <v>45291</v>
      </c>
      <c r="AJ1286" s="2">
        <v>45002</v>
      </c>
    </row>
    <row r="1287" spans="1:36">
      <c r="A1287" s="1" t="str">
        <f>"Z8C3A6D04F"</f>
        <v>Z8C3A6D04F</v>
      </c>
      <c r="B1287" s="1" t="str">
        <f t="shared" si="33"/>
        <v>02406911202</v>
      </c>
      <c r="C1287" s="1" t="s">
        <v>13</v>
      </c>
      <c r="D1287" s="1" t="s">
        <v>1253</v>
      </c>
      <c r="E1287" s="1" t="s">
        <v>1387</v>
      </c>
      <c r="F1287" s="1" t="s">
        <v>49</v>
      </c>
      <c r="G1287" s="1" t="str">
        <f>"00882341001"</f>
        <v>00882341001</v>
      </c>
      <c r="I1287" s="1" t="s">
        <v>2815</v>
      </c>
      <c r="L1287" s="1" t="s">
        <v>44</v>
      </c>
      <c r="M1287" s="1" t="s">
        <v>1255</v>
      </c>
      <c r="AG1287" s="1" t="s">
        <v>2816</v>
      </c>
      <c r="AH1287" s="2">
        <v>45002</v>
      </c>
      <c r="AI1287" s="2">
        <v>45291</v>
      </c>
      <c r="AJ1287" s="2">
        <v>45002</v>
      </c>
    </row>
    <row r="1288" spans="1:36">
      <c r="A1288" s="1" t="str">
        <f>"97181062C5"</f>
        <v>97181062C5</v>
      </c>
      <c r="B1288" s="1" t="str">
        <f t="shared" si="33"/>
        <v>02406911202</v>
      </c>
      <c r="C1288" s="1" t="s">
        <v>13</v>
      </c>
      <c r="D1288" s="1" t="s">
        <v>37</v>
      </c>
      <c r="E1288" s="1" t="s">
        <v>2689</v>
      </c>
      <c r="F1288" s="1" t="s">
        <v>117</v>
      </c>
      <c r="G1288" s="1" t="str">
        <f>"06209390969"</f>
        <v>06209390969</v>
      </c>
      <c r="I1288" s="1" t="s">
        <v>725</v>
      </c>
      <c r="L1288" s="1" t="s">
        <v>44</v>
      </c>
      <c r="M1288" s="1" t="s">
        <v>2817</v>
      </c>
      <c r="AG1288" s="1" t="s">
        <v>2818</v>
      </c>
      <c r="AH1288" s="2">
        <v>45002</v>
      </c>
      <c r="AI1288" s="2">
        <v>45366</v>
      </c>
      <c r="AJ1288" s="2">
        <v>45002</v>
      </c>
    </row>
    <row r="1289" spans="1:36">
      <c r="A1289" s="1" t="str">
        <f>"953630797B"</f>
        <v>953630797B</v>
      </c>
      <c r="B1289" s="1" t="str">
        <f t="shared" si="33"/>
        <v>02406911202</v>
      </c>
      <c r="C1289" s="1" t="s">
        <v>13</v>
      </c>
      <c r="D1289" s="1" t="s">
        <v>205</v>
      </c>
      <c r="E1289" s="1" t="s">
        <v>2819</v>
      </c>
      <c r="F1289" s="1" t="s">
        <v>117</v>
      </c>
      <c r="G1289" s="1" t="str">
        <f>"02147331207"</f>
        <v>02147331207</v>
      </c>
      <c r="I1289" s="1" t="s">
        <v>2820</v>
      </c>
      <c r="L1289" s="1" t="s">
        <v>44</v>
      </c>
      <c r="M1289" s="1" t="s">
        <v>2821</v>
      </c>
      <c r="AG1289" s="1" t="s">
        <v>2822</v>
      </c>
      <c r="AH1289" s="2">
        <v>44927</v>
      </c>
      <c r="AI1289" s="2">
        <v>45291</v>
      </c>
      <c r="AJ1289" s="2">
        <v>44927</v>
      </c>
    </row>
    <row r="1290" spans="1:36">
      <c r="A1290" s="1" t="str">
        <f>"Z5039C1B6A"</f>
        <v>Z5039C1B6A</v>
      </c>
      <c r="B1290" s="1" t="str">
        <f t="shared" si="33"/>
        <v>02406911202</v>
      </c>
      <c r="C1290" s="1" t="s">
        <v>13</v>
      </c>
      <c r="D1290" s="1" t="s">
        <v>205</v>
      </c>
      <c r="E1290" s="1" t="s">
        <v>1753</v>
      </c>
      <c r="F1290" s="1" t="s">
        <v>39</v>
      </c>
      <c r="G1290" s="1" t="str">
        <f>"00312830375"</f>
        <v>00312830375</v>
      </c>
      <c r="I1290" s="1" t="s">
        <v>2823</v>
      </c>
      <c r="L1290" s="1" t="s">
        <v>44</v>
      </c>
      <c r="M1290" s="1" t="s">
        <v>2824</v>
      </c>
      <c r="AG1290" s="1" t="s">
        <v>2825</v>
      </c>
      <c r="AH1290" s="2">
        <v>44927</v>
      </c>
      <c r="AI1290" s="2">
        <v>45291</v>
      </c>
      <c r="AJ1290" s="2">
        <v>44927</v>
      </c>
    </row>
    <row r="1291" spans="1:36">
      <c r="A1291" s="1" t="str">
        <f>"ZA939C8F91"</f>
        <v>ZA939C8F91</v>
      </c>
      <c r="B1291" s="1" t="str">
        <f t="shared" si="33"/>
        <v>02406911202</v>
      </c>
      <c r="C1291" s="1" t="s">
        <v>13</v>
      </c>
      <c r="D1291" s="1" t="s">
        <v>205</v>
      </c>
      <c r="E1291" s="1" t="s">
        <v>1686</v>
      </c>
      <c r="F1291" s="1" t="s">
        <v>39</v>
      </c>
      <c r="G1291" s="1" t="str">
        <f>"03831150366"</f>
        <v>03831150366</v>
      </c>
      <c r="I1291" s="1" t="s">
        <v>1774</v>
      </c>
      <c r="L1291" s="1" t="s">
        <v>44</v>
      </c>
      <c r="M1291" s="1" t="s">
        <v>2826</v>
      </c>
      <c r="AG1291" s="1" t="s">
        <v>2827</v>
      </c>
      <c r="AH1291" s="2">
        <v>44927</v>
      </c>
      <c r="AI1291" s="2">
        <v>45291</v>
      </c>
      <c r="AJ1291" s="2">
        <v>44927</v>
      </c>
    </row>
    <row r="1292" spans="1:36">
      <c r="A1292" s="1" t="str">
        <f>"ZA039C9015"</f>
        <v>ZA039C9015</v>
      </c>
      <c r="B1292" s="1" t="str">
        <f t="shared" si="33"/>
        <v>02406911202</v>
      </c>
      <c r="C1292" s="1" t="s">
        <v>13</v>
      </c>
      <c r="D1292" s="1" t="s">
        <v>205</v>
      </c>
      <c r="E1292" s="1" t="s">
        <v>1686</v>
      </c>
      <c r="F1292" s="1" t="s">
        <v>39</v>
      </c>
      <c r="G1292" s="1" t="str">
        <f>"00377720404"</f>
        <v>00377720404</v>
      </c>
      <c r="I1292" s="1" t="s">
        <v>2828</v>
      </c>
      <c r="L1292" s="1" t="s">
        <v>44</v>
      </c>
      <c r="M1292" s="1" t="s">
        <v>2829</v>
      </c>
      <c r="AG1292" s="1" t="s">
        <v>2830</v>
      </c>
      <c r="AH1292" s="2">
        <v>44927</v>
      </c>
      <c r="AI1292" s="2">
        <v>45291</v>
      </c>
      <c r="AJ1292" s="2">
        <v>44927</v>
      </c>
    </row>
    <row r="1293" spans="1:36">
      <c r="A1293" s="1" t="str">
        <f>"ZBE39C9053"</f>
        <v>ZBE39C9053</v>
      </c>
      <c r="B1293" s="1" t="str">
        <f t="shared" si="33"/>
        <v>02406911202</v>
      </c>
      <c r="C1293" s="1" t="s">
        <v>13</v>
      </c>
      <c r="D1293" s="1" t="s">
        <v>205</v>
      </c>
      <c r="E1293" s="1" t="s">
        <v>1686</v>
      </c>
      <c r="F1293" s="1" t="s">
        <v>39</v>
      </c>
      <c r="G1293" s="1" t="str">
        <f>"00819690405"</f>
        <v>00819690405</v>
      </c>
      <c r="I1293" s="1" t="s">
        <v>2831</v>
      </c>
      <c r="L1293" s="1" t="s">
        <v>44</v>
      </c>
      <c r="M1293" s="1" t="s">
        <v>2832</v>
      </c>
      <c r="AG1293" s="1" t="s">
        <v>2833</v>
      </c>
      <c r="AH1293" s="2">
        <v>44927</v>
      </c>
      <c r="AI1293" s="2">
        <v>45291</v>
      </c>
      <c r="AJ1293" s="2">
        <v>44927</v>
      </c>
    </row>
    <row r="1294" spans="1:36">
      <c r="A1294" s="1" t="str">
        <f>"Z1B39C9083"</f>
        <v>Z1B39C9083</v>
      </c>
      <c r="B1294" s="1" t="str">
        <f t="shared" si="33"/>
        <v>02406911202</v>
      </c>
      <c r="C1294" s="1" t="s">
        <v>13</v>
      </c>
      <c r="D1294" s="1" t="s">
        <v>205</v>
      </c>
      <c r="E1294" s="1" t="s">
        <v>1686</v>
      </c>
      <c r="F1294" s="1" t="s">
        <v>39</v>
      </c>
      <c r="G1294" s="1" t="str">
        <f>"00370290405"</f>
        <v>00370290405</v>
      </c>
      <c r="I1294" s="1" t="s">
        <v>2834</v>
      </c>
      <c r="L1294" s="1" t="s">
        <v>44</v>
      </c>
      <c r="M1294" s="1" t="s">
        <v>336</v>
      </c>
      <c r="AG1294" s="1" t="s">
        <v>2835</v>
      </c>
      <c r="AH1294" s="2">
        <v>44927</v>
      </c>
      <c r="AI1294" s="2">
        <v>45291</v>
      </c>
      <c r="AJ1294" s="2">
        <v>44927</v>
      </c>
    </row>
    <row r="1295" spans="1:36">
      <c r="A1295" s="1" t="str">
        <f>"ZE439C90C3"</f>
        <v>ZE439C90C3</v>
      </c>
      <c r="B1295" s="1" t="str">
        <f t="shared" si="33"/>
        <v>02406911202</v>
      </c>
      <c r="C1295" s="1" t="s">
        <v>13</v>
      </c>
      <c r="D1295" s="1" t="s">
        <v>205</v>
      </c>
      <c r="E1295" s="1" t="s">
        <v>1686</v>
      </c>
      <c r="F1295" s="1" t="s">
        <v>39</v>
      </c>
      <c r="G1295" s="1" t="str">
        <f>"00413900408"</f>
        <v>00413900408</v>
      </c>
      <c r="I1295" s="1" t="s">
        <v>2836</v>
      </c>
      <c r="L1295" s="1" t="s">
        <v>44</v>
      </c>
      <c r="M1295" s="1" t="s">
        <v>2837</v>
      </c>
      <c r="AG1295" s="1" t="s">
        <v>2838</v>
      </c>
      <c r="AH1295" s="2">
        <v>44927</v>
      </c>
      <c r="AI1295" s="2">
        <v>45291</v>
      </c>
      <c r="AJ1295" s="2">
        <v>44927</v>
      </c>
    </row>
    <row r="1296" spans="1:36">
      <c r="A1296" s="1" t="str">
        <f>"Z0F39C9133"</f>
        <v>Z0F39C9133</v>
      </c>
      <c r="B1296" s="1" t="str">
        <f t="shared" si="33"/>
        <v>02406911202</v>
      </c>
      <c r="C1296" s="1" t="s">
        <v>13</v>
      </c>
      <c r="D1296" s="1" t="s">
        <v>205</v>
      </c>
      <c r="E1296" s="1" t="s">
        <v>1686</v>
      </c>
      <c r="F1296" s="1" t="s">
        <v>39</v>
      </c>
      <c r="G1296" s="1" t="str">
        <f>"00323020347"</f>
        <v>00323020347</v>
      </c>
      <c r="I1296" s="1" t="s">
        <v>2839</v>
      </c>
      <c r="L1296" s="1" t="s">
        <v>44</v>
      </c>
      <c r="M1296" s="1" t="s">
        <v>2840</v>
      </c>
      <c r="AG1296" s="1" t="s">
        <v>2841</v>
      </c>
      <c r="AH1296" s="2">
        <v>44927</v>
      </c>
      <c r="AI1296" s="2">
        <v>45291</v>
      </c>
      <c r="AJ1296" s="2">
        <v>44927</v>
      </c>
    </row>
    <row r="1297" spans="1:36">
      <c r="A1297" s="1" t="str">
        <f>"Z6F39C9195"</f>
        <v>Z6F39C9195</v>
      </c>
      <c r="B1297" s="1" t="str">
        <f t="shared" si="33"/>
        <v>02406911202</v>
      </c>
      <c r="C1297" s="1" t="s">
        <v>13</v>
      </c>
      <c r="D1297" s="1" t="s">
        <v>205</v>
      </c>
      <c r="E1297" s="1" t="s">
        <v>1686</v>
      </c>
      <c r="F1297" s="1" t="s">
        <v>39</v>
      </c>
      <c r="G1297" s="1" t="str">
        <f>"12520870150"</f>
        <v>12520870150</v>
      </c>
      <c r="I1297" s="1" t="s">
        <v>2842</v>
      </c>
      <c r="L1297" s="1" t="s">
        <v>44</v>
      </c>
      <c r="M1297" s="1" t="s">
        <v>509</v>
      </c>
      <c r="AG1297" s="1" t="s">
        <v>2843</v>
      </c>
      <c r="AH1297" s="2">
        <v>44927</v>
      </c>
      <c r="AI1297" s="2">
        <v>45291</v>
      </c>
      <c r="AJ1297" s="2">
        <v>44927</v>
      </c>
    </row>
    <row r="1298" spans="1:36">
      <c r="A1298" s="1" t="str">
        <f>"Z8F3A51EC5"</f>
        <v>Z8F3A51EC5</v>
      </c>
      <c r="B1298" s="1" t="str">
        <f t="shared" si="33"/>
        <v>02406911202</v>
      </c>
      <c r="C1298" s="1" t="s">
        <v>13</v>
      </c>
      <c r="D1298" s="1" t="s">
        <v>1253</v>
      </c>
      <c r="E1298" s="1" t="s">
        <v>1562</v>
      </c>
      <c r="F1298" s="1" t="s">
        <v>49</v>
      </c>
      <c r="G1298" s="1" t="str">
        <f>"08082461008"</f>
        <v>08082461008</v>
      </c>
      <c r="I1298" s="1" t="s">
        <v>423</v>
      </c>
      <c r="L1298" s="1" t="s">
        <v>44</v>
      </c>
      <c r="M1298" s="1" t="s">
        <v>1255</v>
      </c>
      <c r="AG1298" s="1" t="s">
        <v>2844</v>
      </c>
      <c r="AH1298" s="2">
        <v>44995</v>
      </c>
      <c r="AI1298" s="2">
        <v>45291</v>
      </c>
      <c r="AJ1298" s="2">
        <v>44995</v>
      </c>
    </row>
    <row r="1299" spans="1:36">
      <c r="A1299" s="1" t="str">
        <f>"Z913A47A97"</f>
        <v>Z913A47A97</v>
      </c>
      <c r="B1299" s="1" t="str">
        <f t="shared" si="33"/>
        <v>02406911202</v>
      </c>
      <c r="C1299" s="1" t="s">
        <v>13</v>
      </c>
      <c r="D1299" s="1" t="s">
        <v>1253</v>
      </c>
      <c r="E1299" s="1" t="s">
        <v>1317</v>
      </c>
      <c r="F1299" s="1" t="s">
        <v>49</v>
      </c>
      <c r="G1299" s="1" t="str">
        <f>"04156880371"</f>
        <v>04156880371</v>
      </c>
      <c r="I1299" s="1" t="s">
        <v>1307</v>
      </c>
      <c r="L1299" s="1" t="s">
        <v>44</v>
      </c>
      <c r="M1299" s="1" t="s">
        <v>1255</v>
      </c>
      <c r="AG1299" s="1" t="s">
        <v>2845</v>
      </c>
      <c r="AH1299" s="2">
        <v>44995</v>
      </c>
      <c r="AI1299" s="2">
        <v>45291</v>
      </c>
      <c r="AJ1299" s="2">
        <v>44995</v>
      </c>
    </row>
    <row r="1300" spans="1:36">
      <c r="A1300" s="1" t="str">
        <f>"Z5B3A59DF1"</f>
        <v>Z5B3A59DF1</v>
      </c>
      <c r="B1300" s="1" t="str">
        <f t="shared" si="33"/>
        <v>02406911202</v>
      </c>
      <c r="C1300" s="1" t="s">
        <v>13</v>
      </c>
      <c r="D1300" s="1" t="s">
        <v>1253</v>
      </c>
      <c r="E1300" s="1" t="s">
        <v>2846</v>
      </c>
      <c r="F1300" s="1" t="s">
        <v>49</v>
      </c>
      <c r="G1300" s="1" t="str">
        <f>"15438541003"</f>
        <v>15438541003</v>
      </c>
      <c r="I1300" s="1" t="s">
        <v>1670</v>
      </c>
      <c r="L1300" s="1" t="s">
        <v>44</v>
      </c>
      <c r="M1300" s="1" t="s">
        <v>1255</v>
      </c>
      <c r="AG1300" s="1" t="s">
        <v>2847</v>
      </c>
      <c r="AH1300" s="2">
        <v>44998</v>
      </c>
      <c r="AI1300" s="2">
        <v>45291</v>
      </c>
      <c r="AJ1300" s="2">
        <v>44998</v>
      </c>
    </row>
    <row r="1301" spans="1:36">
      <c r="A1301" s="1" t="str">
        <f>"9710442E39"</f>
        <v>9710442E39</v>
      </c>
      <c r="B1301" s="1" t="str">
        <f t="shared" si="33"/>
        <v>02406911202</v>
      </c>
      <c r="C1301" s="1" t="s">
        <v>13</v>
      </c>
      <c r="D1301" s="1" t="s">
        <v>1253</v>
      </c>
      <c r="E1301" s="1" t="s">
        <v>2848</v>
      </c>
      <c r="F1301" s="1" t="s">
        <v>49</v>
      </c>
      <c r="G1301" s="1" t="str">
        <f>"01975020130"</f>
        <v>01975020130</v>
      </c>
      <c r="I1301" s="1" t="s">
        <v>1737</v>
      </c>
      <c r="L1301" s="1" t="s">
        <v>44</v>
      </c>
      <c r="M1301" s="1" t="s">
        <v>2849</v>
      </c>
      <c r="AG1301" s="1" t="s">
        <v>2850</v>
      </c>
      <c r="AH1301" s="2">
        <v>45000</v>
      </c>
      <c r="AI1301" s="2">
        <v>45291</v>
      </c>
      <c r="AJ1301" s="2">
        <v>45000</v>
      </c>
    </row>
    <row r="1302" spans="1:36">
      <c r="A1302" s="1" t="str">
        <f>"Z353A64C07"</f>
        <v>Z353A64C07</v>
      </c>
      <c r="B1302" s="1" t="str">
        <f t="shared" si="33"/>
        <v>02406911202</v>
      </c>
      <c r="C1302" s="1" t="s">
        <v>13</v>
      </c>
      <c r="D1302" s="1" t="s">
        <v>1312</v>
      </c>
      <c r="E1302" s="1" t="s">
        <v>2851</v>
      </c>
      <c r="F1302" s="1" t="s">
        <v>49</v>
      </c>
      <c r="G1302" s="1" t="str">
        <f>"00517711206"</f>
        <v>00517711206</v>
      </c>
      <c r="I1302" s="1" t="s">
        <v>2852</v>
      </c>
      <c r="L1302" s="1" t="s">
        <v>44</v>
      </c>
      <c r="M1302" s="1" t="s">
        <v>2853</v>
      </c>
      <c r="AG1302" s="1" t="s">
        <v>2853</v>
      </c>
      <c r="AH1302" s="2">
        <v>44986</v>
      </c>
      <c r="AI1302" s="2">
        <v>45016</v>
      </c>
      <c r="AJ1302" s="2">
        <v>44986</v>
      </c>
    </row>
    <row r="1303" spans="1:36">
      <c r="A1303" s="1" t="str">
        <f>"9718122FF5"</f>
        <v>9718122FF5</v>
      </c>
      <c r="B1303" s="1" t="str">
        <f t="shared" si="33"/>
        <v>02406911202</v>
      </c>
      <c r="C1303" s="1" t="s">
        <v>13</v>
      </c>
      <c r="D1303" s="1" t="s">
        <v>37</v>
      </c>
      <c r="E1303" s="1" t="s">
        <v>2689</v>
      </c>
      <c r="F1303" s="1" t="s">
        <v>117</v>
      </c>
      <c r="G1303" s="1" t="str">
        <f>"02426070120"</f>
        <v>02426070120</v>
      </c>
      <c r="I1303" s="1" t="s">
        <v>2218</v>
      </c>
      <c r="L1303" s="1" t="s">
        <v>44</v>
      </c>
      <c r="M1303" s="1" t="s">
        <v>2854</v>
      </c>
      <c r="AG1303" s="1" t="s">
        <v>2855</v>
      </c>
      <c r="AH1303" s="2">
        <v>45002</v>
      </c>
      <c r="AI1303" s="2">
        <v>45366</v>
      </c>
      <c r="AJ1303" s="2">
        <v>45002</v>
      </c>
    </row>
    <row r="1304" spans="1:36">
      <c r="A1304" s="1" t="str">
        <f>"962952141D"</f>
        <v>962952141D</v>
      </c>
      <c r="B1304" s="1" t="str">
        <f t="shared" si="33"/>
        <v>02406911202</v>
      </c>
      <c r="C1304" s="1" t="s">
        <v>13</v>
      </c>
      <c r="D1304" s="1" t="s">
        <v>37</v>
      </c>
      <c r="E1304" s="1" t="s">
        <v>2856</v>
      </c>
      <c r="F1304" s="1" t="s">
        <v>117</v>
      </c>
      <c r="G1304" s="1" t="str">
        <f>"00674840152"</f>
        <v>00674840152</v>
      </c>
      <c r="I1304" s="1" t="s">
        <v>190</v>
      </c>
      <c r="L1304" s="1" t="s">
        <v>44</v>
      </c>
      <c r="M1304" s="1" t="s">
        <v>916</v>
      </c>
      <c r="AG1304" s="1" t="s">
        <v>2857</v>
      </c>
      <c r="AH1304" s="2">
        <v>44958</v>
      </c>
      <c r="AI1304" s="2">
        <v>45138</v>
      </c>
      <c r="AJ1304" s="2">
        <v>44958</v>
      </c>
    </row>
    <row r="1305" spans="1:36">
      <c r="A1305" s="1" t="str">
        <f>"96317199F4"</f>
        <v>96317199F4</v>
      </c>
      <c r="B1305" s="1" t="str">
        <f t="shared" si="33"/>
        <v>02406911202</v>
      </c>
      <c r="C1305" s="1" t="s">
        <v>13</v>
      </c>
      <c r="D1305" s="1" t="s">
        <v>37</v>
      </c>
      <c r="E1305" s="1" t="s">
        <v>2856</v>
      </c>
      <c r="F1305" s="1" t="s">
        <v>117</v>
      </c>
      <c r="G1305" s="1" t="str">
        <f>"02804530968"</f>
        <v>02804530968</v>
      </c>
      <c r="I1305" s="1" t="s">
        <v>1599</v>
      </c>
      <c r="L1305" s="1" t="s">
        <v>44</v>
      </c>
      <c r="M1305" s="1" t="s">
        <v>935</v>
      </c>
      <c r="AG1305" s="1" t="s">
        <v>2858</v>
      </c>
      <c r="AH1305" s="2">
        <v>44958</v>
      </c>
      <c r="AI1305" s="2">
        <v>45138</v>
      </c>
      <c r="AJ1305" s="2">
        <v>44958</v>
      </c>
    </row>
    <row r="1306" spans="1:36">
      <c r="A1306" s="1" t="str">
        <f>"9631762D6F"</f>
        <v>9631762D6F</v>
      </c>
      <c r="B1306" s="1" t="str">
        <f t="shared" si="33"/>
        <v>02406911202</v>
      </c>
      <c r="C1306" s="1" t="s">
        <v>13</v>
      </c>
      <c r="D1306" s="1" t="s">
        <v>37</v>
      </c>
      <c r="E1306" s="1" t="s">
        <v>2856</v>
      </c>
      <c r="F1306" s="1" t="s">
        <v>117</v>
      </c>
      <c r="G1306" s="1" t="str">
        <f>"01681100150"</f>
        <v>01681100150</v>
      </c>
      <c r="I1306" s="1" t="s">
        <v>92</v>
      </c>
      <c r="L1306" s="1" t="s">
        <v>44</v>
      </c>
      <c r="M1306" s="1" t="s">
        <v>638</v>
      </c>
      <c r="AG1306" s="1" t="s">
        <v>2859</v>
      </c>
      <c r="AH1306" s="2">
        <v>44958</v>
      </c>
      <c r="AI1306" s="2">
        <v>45138</v>
      </c>
      <c r="AJ1306" s="2">
        <v>44958</v>
      </c>
    </row>
    <row r="1307" spans="1:36">
      <c r="A1307" s="1" t="str">
        <f>"9631798B25"</f>
        <v>9631798B25</v>
      </c>
      <c r="B1307" s="1" t="str">
        <f t="shared" si="33"/>
        <v>02406911202</v>
      </c>
      <c r="C1307" s="1" t="s">
        <v>13</v>
      </c>
      <c r="D1307" s="1" t="s">
        <v>37</v>
      </c>
      <c r="E1307" s="1" t="s">
        <v>2856</v>
      </c>
      <c r="F1307" s="1" t="s">
        <v>117</v>
      </c>
      <c r="G1307" s="1" t="str">
        <f>"02173550282"</f>
        <v>02173550282</v>
      </c>
      <c r="I1307" s="1" t="s">
        <v>634</v>
      </c>
      <c r="L1307" s="1" t="s">
        <v>44</v>
      </c>
      <c r="M1307" s="1" t="s">
        <v>946</v>
      </c>
      <c r="AG1307" s="1" t="s">
        <v>2860</v>
      </c>
      <c r="AH1307" s="2">
        <v>44958</v>
      </c>
      <c r="AI1307" s="2">
        <v>45138</v>
      </c>
      <c r="AJ1307" s="2">
        <v>44958</v>
      </c>
    </row>
    <row r="1308" spans="1:36">
      <c r="A1308" s="1" t="str">
        <f>"Z3439B3939"</f>
        <v>Z3439B3939</v>
      </c>
      <c r="B1308" s="1" t="str">
        <f t="shared" si="33"/>
        <v>02406911202</v>
      </c>
      <c r="C1308" s="1" t="s">
        <v>13</v>
      </c>
      <c r="D1308" s="1" t="s">
        <v>37</v>
      </c>
      <c r="E1308" s="1" t="s">
        <v>2861</v>
      </c>
      <c r="F1308" s="1" t="s">
        <v>117</v>
      </c>
      <c r="G1308" s="1" t="str">
        <f>"02417881204"</f>
        <v>02417881204</v>
      </c>
      <c r="I1308" s="1" t="s">
        <v>1330</v>
      </c>
      <c r="L1308" s="1" t="s">
        <v>44</v>
      </c>
      <c r="M1308" s="1" t="s">
        <v>2862</v>
      </c>
      <c r="AG1308" s="1" t="s">
        <v>2863</v>
      </c>
      <c r="AH1308" s="2">
        <v>44958</v>
      </c>
      <c r="AI1308" s="2">
        <v>45138</v>
      </c>
      <c r="AJ1308" s="2">
        <v>44958</v>
      </c>
    </row>
    <row r="1309" spans="1:36">
      <c r="A1309" s="1" t="str">
        <f>"Z9D39B3A12"</f>
        <v>Z9D39B3A12</v>
      </c>
      <c r="B1309" s="1" t="str">
        <f t="shared" si="33"/>
        <v>02406911202</v>
      </c>
      <c r="C1309" s="1" t="s">
        <v>13</v>
      </c>
      <c r="D1309" s="1" t="s">
        <v>37</v>
      </c>
      <c r="E1309" s="1" t="s">
        <v>2864</v>
      </c>
      <c r="F1309" s="1" t="s">
        <v>117</v>
      </c>
      <c r="G1309" s="1" t="str">
        <f>"03237890961"</f>
        <v>03237890961</v>
      </c>
      <c r="I1309" s="1" t="s">
        <v>2865</v>
      </c>
      <c r="L1309" s="1" t="s">
        <v>44</v>
      </c>
      <c r="M1309" s="1" t="s">
        <v>2866</v>
      </c>
      <c r="AG1309" s="1" t="s">
        <v>124</v>
      </c>
      <c r="AH1309" s="2">
        <v>44958</v>
      </c>
      <c r="AI1309" s="2">
        <v>45138</v>
      </c>
      <c r="AJ1309" s="2">
        <v>44958</v>
      </c>
    </row>
    <row r="1310" spans="1:36">
      <c r="A1310" s="1" t="str">
        <f>"962552200A"</f>
        <v>962552200A</v>
      </c>
      <c r="B1310" s="1" t="str">
        <f t="shared" si="33"/>
        <v>02406911202</v>
      </c>
      <c r="C1310" s="1" t="s">
        <v>13</v>
      </c>
      <c r="D1310" s="1" t="s">
        <v>37</v>
      </c>
      <c r="E1310" s="1" t="s">
        <v>2867</v>
      </c>
      <c r="F1310" s="1" t="s">
        <v>117</v>
      </c>
      <c r="G1310" s="1" t="str">
        <f>"06032681006"</f>
        <v>06032681006</v>
      </c>
      <c r="I1310" s="1" t="s">
        <v>1351</v>
      </c>
      <c r="L1310" s="1" t="s">
        <v>44</v>
      </c>
      <c r="M1310" s="1" t="s">
        <v>2868</v>
      </c>
      <c r="AG1310" s="1" t="s">
        <v>2869</v>
      </c>
      <c r="AH1310" s="2">
        <v>44958</v>
      </c>
      <c r="AI1310" s="2">
        <v>45138</v>
      </c>
      <c r="AJ1310" s="2">
        <v>44958</v>
      </c>
    </row>
    <row r="1311" spans="1:36">
      <c r="A1311" s="1" t="str">
        <f>"9625734EF8"</f>
        <v>9625734EF8</v>
      </c>
      <c r="B1311" s="1" t="str">
        <f t="shared" si="33"/>
        <v>02406911202</v>
      </c>
      <c r="C1311" s="1" t="s">
        <v>13</v>
      </c>
      <c r="D1311" s="1" t="s">
        <v>37</v>
      </c>
      <c r="E1311" s="1" t="s">
        <v>2870</v>
      </c>
      <c r="F1311" s="1" t="s">
        <v>117</v>
      </c>
      <c r="G1311" s="1" t="str">
        <f>"15685941005"</f>
        <v>15685941005</v>
      </c>
      <c r="I1311" s="1" t="s">
        <v>2871</v>
      </c>
      <c r="L1311" s="1" t="s">
        <v>44</v>
      </c>
      <c r="M1311" s="1" t="s">
        <v>2872</v>
      </c>
      <c r="AG1311" s="1" t="s">
        <v>2873</v>
      </c>
      <c r="AH1311" s="2">
        <v>44958</v>
      </c>
      <c r="AI1311" s="2">
        <v>45138</v>
      </c>
      <c r="AJ1311" s="2">
        <v>44958</v>
      </c>
    </row>
    <row r="1312" spans="1:36">
      <c r="A1312" s="1" t="str">
        <f>"Z1F39B3A6D"</f>
        <v>Z1F39B3A6D</v>
      </c>
      <c r="B1312" s="1" t="str">
        <f t="shared" si="33"/>
        <v>02406911202</v>
      </c>
      <c r="C1312" s="1" t="s">
        <v>13</v>
      </c>
      <c r="D1312" s="1" t="s">
        <v>37</v>
      </c>
      <c r="E1312" s="1" t="s">
        <v>2874</v>
      </c>
      <c r="F1312" s="1" t="s">
        <v>117</v>
      </c>
      <c r="G1312" s="1" t="str">
        <f>"01799221005"</f>
        <v>01799221005</v>
      </c>
      <c r="I1312" s="1" t="s">
        <v>2875</v>
      </c>
      <c r="L1312" s="1" t="s">
        <v>44</v>
      </c>
      <c r="M1312" s="1" t="s">
        <v>2876</v>
      </c>
      <c r="AG1312" s="1" t="s">
        <v>124</v>
      </c>
      <c r="AH1312" s="2">
        <v>44958</v>
      </c>
      <c r="AI1312" s="2">
        <v>45138</v>
      </c>
      <c r="AJ1312" s="2">
        <v>44958</v>
      </c>
    </row>
    <row r="1313" spans="1:36">
      <c r="A1313" s="1" t="str">
        <f>"Z213A49F13"</f>
        <v>Z213A49F13</v>
      </c>
      <c r="B1313" s="1" t="str">
        <f t="shared" si="33"/>
        <v>02406911202</v>
      </c>
      <c r="C1313" s="1" t="s">
        <v>13</v>
      </c>
      <c r="D1313" s="1" t="s">
        <v>1741</v>
      </c>
      <c r="E1313" s="1" t="s">
        <v>2877</v>
      </c>
      <c r="F1313" s="1" t="s">
        <v>49</v>
      </c>
      <c r="G1313" s="1" t="str">
        <f>"03593680378"</f>
        <v>03593680378</v>
      </c>
      <c r="I1313" s="1" t="s">
        <v>432</v>
      </c>
      <c r="L1313" s="1" t="s">
        <v>44</v>
      </c>
      <c r="M1313" s="1" t="s">
        <v>2878</v>
      </c>
      <c r="AG1313" s="1" t="s">
        <v>2878</v>
      </c>
      <c r="AH1313" s="2">
        <v>44993</v>
      </c>
      <c r="AI1313" s="2">
        <v>45291</v>
      </c>
      <c r="AJ1313" s="2">
        <v>44993</v>
      </c>
    </row>
    <row r="1314" spans="1:36">
      <c r="A1314" s="1" t="str">
        <f>"Z043A10B58"</f>
        <v>Z043A10B58</v>
      </c>
      <c r="B1314" s="1" t="str">
        <f t="shared" si="33"/>
        <v>02406911202</v>
      </c>
      <c r="C1314" s="1" t="s">
        <v>13</v>
      </c>
      <c r="D1314" s="1" t="s">
        <v>1741</v>
      </c>
      <c r="E1314" s="1" t="s">
        <v>2879</v>
      </c>
      <c r="F1314" s="1" t="s">
        <v>39</v>
      </c>
      <c r="G1314" s="1" t="str">
        <f>"00740430335"</f>
        <v>00740430335</v>
      </c>
      <c r="I1314" s="1" t="s">
        <v>1888</v>
      </c>
      <c r="L1314" s="1" t="s">
        <v>44</v>
      </c>
      <c r="M1314" s="1" t="s">
        <v>2880</v>
      </c>
      <c r="AG1314" s="1" t="s">
        <v>2880</v>
      </c>
      <c r="AH1314" s="2">
        <v>44979</v>
      </c>
      <c r="AI1314" s="2">
        <v>45291</v>
      </c>
      <c r="AJ1314" s="2">
        <v>44979</v>
      </c>
    </row>
    <row r="1315" spans="1:36">
      <c r="A1315" s="1" t="str">
        <f>"Z043A10B58"</f>
        <v>Z043A10B58</v>
      </c>
      <c r="B1315" s="1" t="str">
        <f t="shared" si="33"/>
        <v>02406911202</v>
      </c>
      <c r="C1315" s="1" t="s">
        <v>13</v>
      </c>
      <c r="D1315" s="1" t="s">
        <v>1741</v>
      </c>
      <c r="E1315" s="1" t="s">
        <v>2879</v>
      </c>
      <c r="F1315" s="1" t="s">
        <v>39</v>
      </c>
      <c r="G1315" s="1" t="str">
        <f>"03359340837"</f>
        <v>03359340837</v>
      </c>
      <c r="I1315" s="1" t="s">
        <v>1881</v>
      </c>
      <c r="L1315" s="1" t="s">
        <v>41</v>
      </c>
      <c r="AJ1315" s="2">
        <v>44979</v>
      </c>
    </row>
    <row r="1316" spans="1:36">
      <c r="A1316" s="1" t="str">
        <f>"Z043A10B58"</f>
        <v>Z043A10B58</v>
      </c>
      <c r="B1316" s="1" t="str">
        <f t="shared" si="33"/>
        <v>02406911202</v>
      </c>
      <c r="C1316" s="1" t="s">
        <v>13</v>
      </c>
      <c r="D1316" s="1" t="s">
        <v>1741</v>
      </c>
      <c r="E1316" s="1" t="s">
        <v>2879</v>
      </c>
      <c r="F1316" s="1" t="s">
        <v>39</v>
      </c>
      <c r="G1316" s="1" t="str">
        <f>"01813500541"</f>
        <v>01813500541</v>
      </c>
      <c r="I1316" s="1" t="s">
        <v>2137</v>
      </c>
      <c r="L1316" s="1" t="s">
        <v>41</v>
      </c>
      <c r="AJ1316" s="2">
        <v>44979</v>
      </c>
    </row>
    <row r="1317" spans="1:36">
      <c r="A1317" s="1" t="str">
        <f>"ZA13A5A606"</f>
        <v>ZA13A5A606</v>
      </c>
      <c r="B1317" s="1" t="str">
        <f t="shared" si="33"/>
        <v>02406911202</v>
      </c>
      <c r="C1317" s="1" t="s">
        <v>13</v>
      </c>
      <c r="D1317" s="1" t="s">
        <v>205</v>
      </c>
      <c r="E1317" s="1" t="s">
        <v>2881</v>
      </c>
      <c r="F1317" s="1" t="s">
        <v>39</v>
      </c>
      <c r="G1317" s="1" t="str">
        <f>"03131021200"</f>
        <v>03131021200</v>
      </c>
      <c r="I1317" s="1" t="s">
        <v>2882</v>
      </c>
      <c r="L1317" s="1" t="s">
        <v>44</v>
      </c>
      <c r="M1317" s="1" t="s">
        <v>2883</v>
      </c>
      <c r="AG1317" s="1" t="s">
        <v>2884</v>
      </c>
      <c r="AH1317" s="2">
        <v>45000</v>
      </c>
      <c r="AI1317" s="2">
        <v>45291</v>
      </c>
      <c r="AJ1317" s="2">
        <v>45000</v>
      </c>
    </row>
    <row r="1318" spans="1:36">
      <c r="A1318" s="1" t="str">
        <f>"Z853A5E9F9"</f>
        <v>Z853A5E9F9</v>
      </c>
      <c r="B1318" s="1" t="str">
        <f t="shared" si="33"/>
        <v>02406911202</v>
      </c>
      <c r="C1318" s="1" t="s">
        <v>13</v>
      </c>
      <c r="D1318" s="1" t="s">
        <v>1253</v>
      </c>
      <c r="E1318" s="1" t="s">
        <v>1562</v>
      </c>
      <c r="F1318" s="1" t="s">
        <v>49</v>
      </c>
      <c r="G1318" s="1" t="str">
        <f>"06032681006"</f>
        <v>06032681006</v>
      </c>
      <c r="I1318" s="1" t="s">
        <v>1351</v>
      </c>
      <c r="L1318" s="1" t="s">
        <v>44</v>
      </c>
      <c r="M1318" s="1" t="s">
        <v>1255</v>
      </c>
      <c r="AG1318" s="1" t="s">
        <v>2885</v>
      </c>
      <c r="AH1318" s="2">
        <v>45000</v>
      </c>
      <c r="AI1318" s="2">
        <v>45291</v>
      </c>
      <c r="AJ1318" s="2">
        <v>45000</v>
      </c>
    </row>
    <row r="1319" spans="1:36">
      <c r="A1319" s="1" t="str">
        <f>"Z5E3A61272"</f>
        <v>Z5E3A61272</v>
      </c>
      <c r="B1319" s="1" t="str">
        <f t="shared" si="33"/>
        <v>02406911202</v>
      </c>
      <c r="C1319" s="1" t="s">
        <v>13</v>
      </c>
      <c r="D1319" s="1" t="s">
        <v>1312</v>
      </c>
      <c r="E1319" s="1" t="s">
        <v>2886</v>
      </c>
      <c r="F1319" s="1" t="s">
        <v>49</v>
      </c>
      <c r="G1319" s="1" t="str">
        <f>"08079840727"</f>
        <v>08079840727</v>
      </c>
      <c r="I1319" s="1" t="s">
        <v>2887</v>
      </c>
      <c r="L1319" s="1" t="s">
        <v>44</v>
      </c>
      <c r="M1319" s="1" t="s">
        <v>2888</v>
      </c>
      <c r="AG1319" s="1" t="s">
        <v>2888</v>
      </c>
      <c r="AH1319" s="2">
        <v>45000</v>
      </c>
      <c r="AI1319" s="2">
        <v>45291</v>
      </c>
      <c r="AJ1319" s="2">
        <v>45000</v>
      </c>
    </row>
    <row r="1320" spans="1:36">
      <c r="A1320" s="1" t="str">
        <f>"97175908F2"</f>
        <v>97175908F2</v>
      </c>
      <c r="B1320" s="1" t="str">
        <f t="shared" si="33"/>
        <v>02406911202</v>
      </c>
      <c r="C1320" s="1" t="s">
        <v>13</v>
      </c>
      <c r="D1320" s="1" t="s">
        <v>205</v>
      </c>
      <c r="E1320" s="1" t="s">
        <v>2889</v>
      </c>
      <c r="F1320" s="1" t="s">
        <v>39</v>
      </c>
      <c r="G1320" s="1" t="str">
        <f>"00689551208"</f>
        <v>00689551208</v>
      </c>
      <c r="I1320" s="1" t="s">
        <v>2890</v>
      </c>
      <c r="L1320" s="1" t="s">
        <v>44</v>
      </c>
      <c r="M1320" s="1" t="s">
        <v>2891</v>
      </c>
      <c r="AG1320" s="1" t="s">
        <v>2892</v>
      </c>
      <c r="AH1320" s="2">
        <v>44927</v>
      </c>
      <c r="AI1320" s="2">
        <v>45657</v>
      </c>
      <c r="AJ1320" s="2">
        <v>44927</v>
      </c>
    </row>
    <row r="1321" spans="1:36">
      <c r="A1321" s="1" t="str">
        <f>"Z4B39E3553"</f>
        <v>Z4B39E3553</v>
      </c>
      <c r="B1321" s="1" t="str">
        <f t="shared" si="33"/>
        <v>02406911202</v>
      </c>
      <c r="C1321" s="1" t="s">
        <v>13</v>
      </c>
      <c r="D1321" s="1" t="s">
        <v>205</v>
      </c>
      <c r="E1321" s="1" t="s">
        <v>1677</v>
      </c>
      <c r="F1321" s="1" t="s">
        <v>39</v>
      </c>
      <c r="G1321" s="1" t="str">
        <f>"01177780358"</f>
        <v>01177780358</v>
      </c>
      <c r="I1321" s="1" t="s">
        <v>2893</v>
      </c>
      <c r="L1321" s="1" t="s">
        <v>44</v>
      </c>
      <c r="M1321" s="1" t="s">
        <v>208</v>
      </c>
      <c r="AG1321" s="1" t="s">
        <v>124</v>
      </c>
      <c r="AH1321" s="2">
        <v>44927</v>
      </c>
      <c r="AI1321" s="2">
        <v>45291</v>
      </c>
      <c r="AJ1321" s="2">
        <v>44927</v>
      </c>
    </row>
    <row r="1322" spans="1:36">
      <c r="A1322" s="1" t="str">
        <f>"Z7839E6E8E"</f>
        <v>Z7839E6E8E</v>
      </c>
      <c r="B1322" s="1" t="str">
        <f t="shared" si="33"/>
        <v>02406911202</v>
      </c>
      <c r="C1322" s="1" t="s">
        <v>13</v>
      </c>
      <c r="D1322" s="1" t="s">
        <v>1253</v>
      </c>
      <c r="E1322" s="1" t="s">
        <v>1387</v>
      </c>
      <c r="F1322" s="1" t="s">
        <v>49</v>
      </c>
      <c r="H1322" s="1" t="str">
        <f>"106883221"</f>
        <v>106883221</v>
      </c>
      <c r="I1322" s="1" t="s">
        <v>2894</v>
      </c>
      <c r="L1322" s="1" t="s">
        <v>44</v>
      </c>
      <c r="M1322" s="1" t="s">
        <v>1255</v>
      </c>
      <c r="AG1322" s="1" t="s">
        <v>2895</v>
      </c>
      <c r="AH1322" s="2">
        <v>44967</v>
      </c>
      <c r="AI1322" s="2">
        <v>45291</v>
      </c>
      <c r="AJ1322" s="2">
        <v>44967</v>
      </c>
    </row>
    <row r="1323" spans="1:36">
      <c r="A1323" s="1" t="str">
        <f>"9636934982"</f>
        <v>9636934982</v>
      </c>
      <c r="B1323" s="1" t="str">
        <f t="shared" si="33"/>
        <v>02406911202</v>
      </c>
      <c r="C1323" s="1" t="s">
        <v>13</v>
      </c>
      <c r="D1323" s="1" t="s">
        <v>1312</v>
      </c>
      <c r="E1323" s="1" t="s">
        <v>2896</v>
      </c>
      <c r="F1323" s="1" t="s">
        <v>49</v>
      </c>
      <c r="G1323" s="1" t="str">
        <f>"00549731206"</f>
        <v>00549731206</v>
      </c>
      <c r="I1323" s="1" t="s">
        <v>1391</v>
      </c>
      <c r="L1323" s="1" t="s">
        <v>41</v>
      </c>
      <c r="AJ1323" s="2">
        <v>44967</v>
      </c>
    </row>
    <row r="1324" spans="1:36">
      <c r="A1324" s="1" t="str">
        <f>"9636934982"</f>
        <v>9636934982</v>
      </c>
      <c r="B1324" s="1" t="str">
        <f t="shared" si="33"/>
        <v>02406911202</v>
      </c>
      <c r="C1324" s="1" t="s">
        <v>13</v>
      </c>
      <c r="D1324" s="1" t="s">
        <v>1312</v>
      </c>
      <c r="E1324" s="1" t="s">
        <v>2896</v>
      </c>
      <c r="F1324" s="1" t="s">
        <v>49</v>
      </c>
      <c r="G1324" s="1" t="str">
        <f>"02668590215"</f>
        <v>02668590215</v>
      </c>
      <c r="I1324" s="1" t="s">
        <v>1335</v>
      </c>
      <c r="L1324" s="1" t="s">
        <v>44</v>
      </c>
      <c r="M1324" s="1" t="s">
        <v>2897</v>
      </c>
      <c r="AG1324" s="1" t="s">
        <v>2898</v>
      </c>
      <c r="AH1324" s="2">
        <v>44967</v>
      </c>
      <c r="AI1324" s="2">
        <v>45443</v>
      </c>
      <c r="AJ1324" s="2">
        <v>44967</v>
      </c>
    </row>
    <row r="1325" spans="1:36">
      <c r="A1325" s="1" t="str">
        <f>"Z023A0E87D"</f>
        <v>Z023A0E87D</v>
      </c>
      <c r="B1325" s="1" t="str">
        <f t="shared" si="33"/>
        <v>02406911202</v>
      </c>
      <c r="C1325" s="1" t="s">
        <v>13</v>
      </c>
      <c r="D1325" s="1" t="s">
        <v>205</v>
      </c>
      <c r="E1325" s="1" t="s">
        <v>1753</v>
      </c>
      <c r="F1325" s="1" t="s">
        <v>39</v>
      </c>
      <c r="G1325" s="1" t="str">
        <f>"00510001209"</f>
        <v>00510001209</v>
      </c>
      <c r="I1325" s="1" t="s">
        <v>2899</v>
      </c>
      <c r="L1325" s="1" t="s">
        <v>44</v>
      </c>
      <c r="M1325" s="1" t="s">
        <v>2900</v>
      </c>
      <c r="AG1325" s="1" t="s">
        <v>2901</v>
      </c>
      <c r="AH1325" s="2">
        <v>44927</v>
      </c>
      <c r="AI1325" s="2">
        <v>45291</v>
      </c>
      <c r="AJ1325" s="2">
        <v>44927</v>
      </c>
    </row>
    <row r="1326" spans="1:36">
      <c r="A1326" s="1" t="str">
        <f>"ZB73A4AFF9"</f>
        <v>ZB73A4AFF9</v>
      </c>
      <c r="B1326" s="1" t="str">
        <f t="shared" si="33"/>
        <v>02406911202</v>
      </c>
      <c r="C1326" s="1" t="s">
        <v>13</v>
      </c>
      <c r="D1326" s="1" t="s">
        <v>1253</v>
      </c>
      <c r="E1326" s="1" t="s">
        <v>1270</v>
      </c>
      <c r="F1326" s="1" t="s">
        <v>49</v>
      </c>
      <c r="H1326" s="1" t="str">
        <f>"823865599B01"</f>
        <v>823865599B01</v>
      </c>
      <c r="I1326" s="1" t="s">
        <v>2902</v>
      </c>
      <c r="L1326" s="1" t="s">
        <v>44</v>
      </c>
      <c r="M1326" s="1" t="s">
        <v>1255</v>
      </c>
      <c r="AG1326" s="1" t="s">
        <v>2903</v>
      </c>
      <c r="AH1326" s="2">
        <v>44994</v>
      </c>
      <c r="AI1326" s="2">
        <v>45291</v>
      </c>
      <c r="AJ1326" s="2">
        <v>44994</v>
      </c>
    </row>
    <row r="1327" spans="1:36">
      <c r="A1327" s="1" t="str">
        <f>"Z0D3A5EFDE"</f>
        <v>Z0D3A5EFDE</v>
      </c>
      <c r="B1327" s="1" t="str">
        <f t="shared" si="33"/>
        <v>02406911202</v>
      </c>
      <c r="C1327" s="1" t="s">
        <v>13</v>
      </c>
      <c r="D1327" s="1" t="s">
        <v>1253</v>
      </c>
      <c r="E1327" s="1" t="s">
        <v>1262</v>
      </c>
      <c r="F1327" s="1" t="s">
        <v>49</v>
      </c>
      <c r="G1327" s="1" t="str">
        <f>"12432150154"</f>
        <v>12432150154</v>
      </c>
      <c r="I1327" s="1" t="s">
        <v>1646</v>
      </c>
      <c r="L1327" s="1" t="s">
        <v>44</v>
      </c>
      <c r="M1327" s="1" t="s">
        <v>153</v>
      </c>
      <c r="AG1327" s="1" t="s">
        <v>2904</v>
      </c>
      <c r="AH1327" s="2">
        <v>45000</v>
      </c>
      <c r="AI1327" s="2">
        <v>45291</v>
      </c>
      <c r="AJ1327" s="2">
        <v>45000</v>
      </c>
    </row>
    <row r="1328" spans="1:36">
      <c r="A1328" s="1" t="str">
        <f>"9700579308"</f>
        <v>9700579308</v>
      </c>
      <c r="B1328" s="1" t="str">
        <f t="shared" si="33"/>
        <v>02406911202</v>
      </c>
      <c r="C1328" s="1" t="s">
        <v>13</v>
      </c>
      <c r="D1328" s="1" t="s">
        <v>1312</v>
      </c>
      <c r="E1328" s="1" t="s">
        <v>2905</v>
      </c>
      <c r="F1328" s="1" t="s">
        <v>49</v>
      </c>
      <c r="G1328" s="1" t="str">
        <f>"00761290766"</f>
        <v>00761290766</v>
      </c>
      <c r="I1328" s="1" t="s">
        <v>2906</v>
      </c>
      <c r="L1328" s="1" t="s">
        <v>44</v>
      </c>
      <c r="M1328" s="1" t="s">
        <v>2907</v>
      </c>
      <c r="AG1328" s="1" t="s">
        <v>2908</v>
      </c>
      <c r="AH1328" s="2">
        <v>45000</v>
      </c>
      <c r="AI1328" s="2">
        <v>45291</v>
      </c>
      <c r="AJ1328" s="2">
        <v>45000</v>
      </c>
    </row>
    <row r="1329" spans="1:36">
      <c r="A1329" s="1" t="str">
        <f>"ZB83A68BC5"</f>
        <v>ZB83A68BC5</v>
      </c>
      <c r="B1329" s="1" t="str">
        <f t="shared" si="33"/>
        <v>02406911202</v>
      </c>
      <c r="C1329" s="1" t="s">
        <v>13</v>
      </c>
      <c r="D1329" s="1" t="s">
        <v>1253</v>
      </c>
      <c r="E1329" s="1" t="s">
        <v>1317</v>
      </c>
      <c r="F1329" s="1" t="s">
        <v>49</v>
      </c>
      <c r="G1329" s="1" t="str">
        <f>"04479460158"</f>
        <v>04479460158</v>
      </c>
      <c r="I1329" s="1" t="s">
        <v>2909</v>
      </c>
      <c r="L1329" s="1" t="s">
        <v>44</v>
      </c>
      <c r="M1329" s="1" t="s">
        <v>1255</v>
      </c>
      <c r="AG1329" s="1" t="s">
        <v>2910</v>
      </c>
      <c r="AH1329" s="2">
        <v>45002</v>
      </c>
      <c r="AI1329" s="2">
        <v>45291</v>
      </c>
      <c r="AJ1329" s="2">
        <v>45002</v>
      </c>
    </row>
    <row r="1330" spans="1:36">
      <c r="A1330" s="1" t="str">
        <f>"Z823A68BEC"</f>
        <v>Z823A68BEC</v>
      </c>
      <c r="B1330" s="1" t="str">
        <f t="shared" si="33"/>
        <v>02406911202</v>
      </c>
      <c r="C1330" s="1" t="s">
        <v>13</v>
      </c>
      <c r="D1330" s="1" t="s">
        <v>1253</v>
      </c>
      <c r="E1330" s="1" t="s">
        <v>1317</v>
      </c>
      <c r="F1330" s="1" t="s">
        <v>49</v>
      </c>
      <c r="G1330" s="1" t="str">
        <f>"00495451205"</f>
        <v>00495451205</v>
      </c>
      <c r="I1330" s="1" t="s">
        <v>1320</v>
      </c>
      <c r="L1330" s="1" t="s">
        <v>44</v>
      </c>
      <c r="M1330" s="1" t="s">
        <v>1255</v>
      </c>
      <c r="AG1330" s="1" t="s">
        <v>2911</v>
      </c>
      <c r="AH1330" s="2">
        <v>45002</v>
      </c>
      <c r="AI1330" s="2">
        <v>45291</v>
      </c>
      <c r="AJ1330" s="2">
        <v>45002</v>
      </c>
    </row>
    <row r="1331" spans="1:36">
      <c r="A1331" s="1" t="str">
        <f>"ZEE3A68B9E"</f>
        <v>ZEE3A68B9E</v>
      </c>
      <c r="B1331" s="1" t="str">
        <f t="shared" si="33"/>
        <v>02406911202</v>
      </c>
      <c r="C1331" s="1" t="s">
        <v>13</v>
      </c>
      <c r="D1331" s="1" t="s">
        <v>1253</v>
      </c>
      <c r="E1331" s="1" t="s">
        <v>1317</v>
      </c>
      <c r="F1331" s="1" t="s">
        <v>49</v>
      </c>
      <c r="G1331" s="1" t="str">
        <f>"00674840152"</f>
        <v>00674840152</v>
      </c>
      <c r="I1331" s="1" t="s">
        <v>190</v>
      </c>
      <c r="L1331" s="1" t="s">
        <v>44</v>
      </c>
      <c r="M1331" s="1" t="s">
        <v>1255</v>
      </c>
      <c r="AG1331" s="1" t="s">
        <v>2912</v>
      </c>
      <c r="AH1331" s="2">
        <v>45002</v>
      </c>
      <c r="AI1331" s="2">
        <v>45291</v>
      </c>
      <c r="AJ1331" s="2">
        <v>45002</v>
      </c>
    </row>
    <row r="1332" spans="1:36">
      <c r="A1332" s="1" t="str">
        <f>"Z9A3A68B87"</f>
        <v>Z9A3A68B87</v>
      </c>
      <c r="B1332" s="1" t="str">
        <f t="shared" si="33"/>
        <v>02406911202</v>
      </c>
      <c r="C1332" s="1" t="s">
        <v>13</v>
      </c>
      <c r="D1332" s="1" t="s">
        <v>1253</v>
      </c>
      <c r="E1332" s="1" t="s">
        <v>1317</v>
      </c>
      <c r="F1332" s="1" t="s">
        <v>49</v>
      </c>
      <c r="G1332" s="1" t="str">
        <f>"00803890151"</f>
        <v>00803890151</v>
      </c>
      <c r="I1332" s="1" t="s">
        <v>68</v>
      </c>
      <c r="L1332" s="1" t="s">
        <v>44</v>
      </c>
      <c r="M1332" s="1" t="s">
        <v>1255</v>
      </c>
      <c r="AG1332" s="1" t="s">
        <v>2913</v>
      </c>
      <c r="AH1332" s="2">
        <v>45002</v>
      </c>
      <c r="AI1332" s="2">
        <v>45291</v>
      </c>
      <c r="AJ1332" s="2">
        <v>45002</v>
      </c>
    </row>
    <row r="1333" spans="1:36">
      <c r="A1333" s="1" t="str">
        <f>"9718157CD8"</f>
        <v>9718157CD8</v>
      </c>
      <c r="B1333" s="1" t="str">
        <f t="shared" si="33"/>
        <v>02406911202</v>
      </c>
      <c r="C1333" s="1" t="s">
        <v>13</v>
      </c>
      <c r="D1333" s="1" t="s">
        <v>37</v>
      </c>
      <c r="E1333" s="1" t="s">
        <v>2689</v>
      </c>
      <c r="F1333" s="1" t="s">
        <v>117</v>
      </c>
      <c r="G1333" s="1" t="str">
        <f>"01542210222"</f>
        <v>01542210222</v>
      </c>
      <c r="I1333" s="1" t="s">
        <v>1891</v>
      </c>
      <c r="L1333" s="1" t="s">
        <v>44</v>
      </c>
      <c r="M1333" s="1" t="s">
        <v>2914</v>
      </c>
      <c r="AG1333" s="1" t="s">
        <v>2915</v>
      </c>
      <c r="AH1333" s="2">
        <v>45002</v>
      </c>
      <c r="AI1333" s="2">
        <v>45366</v>
      </c>
      <c r="AJ1333" s="2">
        <v>45002</v>
      </c>
    </row>
    <row r="1334" spans="1:36">
      <c r="A1334" s="1" t="str">
        <f>"96184693B7"</f>
        <v>96184693B7</v>
      </c>
      <c r="B1334" s="1" t="str">
        <f t="shared" si="33"/>
        <v>02406911202</v>
      </c>
      <c r="C1334" s="1" t="s">
        <v>13</v>
      </c>
      <c r="D1334" s="1" t="s">
        <v>37</v>
      </c>
      <c r="E1334" s="1" t="s">
        <v>2916</v>
      </c>
      <c r="F1334" s="1" t="s">
        <v>117</v>
      </c>
      <c r="G1334" s="1" t="str">
        <f>"09190500968"</f>
        <v>09190500968</v>
      </c>
      <c r="I1334" s="1" t="s">
        <v>1702</v>
      </c>
      <c r="L1334" s="1" t="s">
        <v>44</v>
      </c>
      <c r="M1334" s="1" t="s">
        <v>2917</v>
      </c>
      <c r="AG1334" s="1" t="s">
        <v>2918</v>
      </c>
      <c r="AH1334" s="2">
        <v>44943</v>
      </c>
      <c r="AI1334" s="2">
        <v>46022</v>
      </c>
      <c r="AJ1334" s="2">
        <v>44943</v>
      </c>
    </row>
    <row r="1335" spans="1:36">
      <c r="A1335" s="1" t="str">
        <f>"96184693B7"</f>
        <v>96184693B7</v>
      </c>
      <c r="B1335" s="1" t="str">
        <f t="shared" si="33"/>
        <v>02406911202</v>
      </c>
      <c r="C1335" s="1" t="s">
        <v>13</v>
      </c>
      <c r="D1335" s="1" t="s">
        <v>37</v>
      </c>
      <c r="E1335" s="1" t="s">
        <v>2916</v>
      </c>
      <c r="F1335" s="1" t="s">
        <v>117</v>
      </c>
      <c r="G1335" s="1" t="str">
        <f>"02645920592"</f>
        <v>02645920592</v>
      </c>
      <c r="I1335" s="1" t="s">
        <v>2919</v>
      </c>
      <c r="L1335" s="1" t="s">
        <v>44</v>
      </c>
      <c r="M1335" s="1" t="s">
        <v>2917</v>
      </c>
      <c r="AG1335" s="1" t="s">
        <v>2918</v>
      </c>
      <c r="AH1335" s="2">
        <v>44943</v>
      </c>
      <c r="AI1335" s="2">
        <v>46022</v>
      </c>
      <c r="AJ1335" s="2">
        <v>44943</v>
      </c>
    </row>
    <row r="1336" spans="1:36">
      <c r="A1336" s="1" t="str">
        <f>"92657502CA"</f>
        <v>92657502CA</v>
      </c>
      <c r="B1336" s="1" t="str">
        <f t="shared" si="33"/>
        <v>02406911202</v>
      </c>
      <c r="C1336" s="1" t="s">
        <v>13</v>
      </c>
      <c r="D1336" s="1" t="s">
        <v>37</v>
      </c>
      <c r="E1336" s="1" t="s">
        <v>2920</v>
      </c>
      <c r="F1336" s="1" t="s">
        <v>431</v>
      </c>
      <c r="G1336" s="1" t="str">
        <f>"02368591208"</f>
        <v>02368591208</v>
      </c>
      <c r="I1336" s="1" t="s">
        <v>444</v>
      </c>
      <c r="L1336" s="1" t="s">
        <v>44</v>
      </c>
      <c r="M1336" s="1" t="s">
        <v>2921</v>
      </c>
      <c r="AG1336" s="1" t="s">
        <v>2922</v>
      </c>
      <c r="AH1336" s="2">
        <v>44958</v>
      </c>
      <c r="AI1336" s="2">
        <v>46053</v>
      </c>
      <c r="AJ1336" s="2">
        <v>44958</v>
      </c>
    </row>
    <row r="1337" spans="1:36">
      <c r="A1337" s="1" t="str">
        <f>"ZBE39FF30F"</f>
        <v>ZBE39FF30F</v>
      </c>
      <c r="B1337" s="1" t="str">
        <f t="shared" si="33"/>
        <v>02406911202</v>
      </c>
      <c r="C1337" s="1" t="s">
        <v>13</v>
      </c>
      <c r="D1337" s="1" t="s">
        <v>1257</v>
      </c>
      <c r="E1337" s="1" t="s">
        <v>2923</v>
      </c>
      <c r="F1337" s="1" t="s">
        <v>49</v>
      </c>
      <c r="G1337" s="1" t="str">
        <f>"10767630154"</f>
        <v>10767630154</v>
      </c>
      <c r="I1337" s="1" t="s">
        <v>2429</v>
      </c>
      <c r="L1337" s="1" t="s">
        <v>44</v>
      </c>
      <c r="M1337" s="1" t="s">
        <v>2924</v>
      </c>
      <c r="AG1337" s="1" t="s">
        <v>124</v>
      </c>
      <c r="AH1337" s="2">
        <v>44973</v>
      </c>
      <c r="AI1337" s="2">
        <v>44985</v>
      </c>
      <c r="AJ1337" s="2">
        <v>44973</v>
      </c>
    </row>
    <row r="1338" spans="1:36">
      <c r="A1338" s="1" t="str">
        <f>"Z1139FF37E"</f>
        <v>Z1139FF37E</v>
      </c>
      <c r="B1338" s="1" t="str">
        <f t="shared" si="33"/>
        <v>02406911202</v>
      </c>
      <c r="C1338" s="1" t="s">
        <v>13</v>
      </c>
      <c r="D1338" s="1" t="s">
        <v>1257</v>
      </c>
      <c r="E1338" s="1" t="s">
        <v>2925</v>
      </c>
      <c r="F1338" s="1" t="s">
        <v>49</v>
      </c>
      <c r="G1338" s="1" t="str">
        <f>"03390661209"</f>
        <v>03390661209</v>
      </c>
      <c r="I1338" s="1" t="s">
        <v>2501</v>
      </c>
      <c r="L1338" s="1" t="s">
        <v>44</v>
      </c>
      <c r="M1338" s="1" t="s">
        <v>83</v>
      </c>
      <c r="AG1338" s="1" t="s">
        <v>83</v>
      </c>
      <c r="AH1338" s="2">
        <v>44973</v>
      </c>
      <c r="AI1338" s="2">
        <v>45016</v>
      </c>
      <c r="AJ1338" s="2">
        <v>44973</v>
      </c>
    </row>
    <row r="1339" spans="1:36">
      <c r="A1339" s="1" t="str">
        <f>"Z1139FF37E"</f>
        <v>Z1139FF37E</v>
      </c>
      <c r="B1339" s="1" t="str">
        <f t="shared" si="33"/>
        <v>02406911202</v>
      </c>
      <c r="C1339" s="1" t="s">
        <v>13</v>
      </c>
      <c r="D1339" s="1" t="s">
        <v>1257</v>
      </c>
      <c r="E1339" s="1" t="s">
        <v>2925</v>
      </c>
      <c r="F1339" s="1" t="s">
        <v>49</v>
      </c>
      <c r="G1339" s="1" t="str">
        <f>"02503150373"</f>
        <v>02503150373</v>
      </c>
      <c r="I1339" s="1" t="s">
        <v>2197</v>
      </c>
      <c r="L1339" s="1" t="s">
        <v>41</v>
      </c>
      <c r="AJ1339" s="2">
        <v>44973</v>
      </c>
    </row>
    <row r="1340" spans="1:36">
      <c r="A1340" s="1" t="str">
        <f>"Z1139FF37E"</f>
        <v>Z1139FF37E</v>
      </c>
      <c r="B1340" s="1" t="str">
        <f t="shared" si="33"/>
        <v>02406911202</v>
      </c>
      <c r="C1340" s="1" t="s">
        <v>13</v>
      </c>
      <c r="D1340" s="1" t="s">
        <v>1257</v>
      </c>
      <c r="E1340" s="1" t="s">
        <v>2925</v>
      </c>
      <c r="F1340" s="1" t="s">
        <v>49</v>
      </c>
      <c r="G1340" s="1" t="str">
        <f>"03281501217"</f>
        <v>03281501217</v>
      </c>
      <c r="I1340" s="1" t="s">
        <v>6754</v>
      </c>
      <c r="L1340" s="1" t="s">
        <v>41</v>
      </c>
      <c r="AJ1340" s="2">
        <v>44973</v>
      </c>
    </row>
    <row r="1341" spans="1:36">
      <c r="A1341" s="1" t="str">
        <f>"Z4339FF534"</f>
        <v>Z4339FF534</v>
      </c>
      <c r="B1341" s="1" t="str">
        <f t="shared" si="33"/>
        <v>02406911202</v>
      </c>
      <c r="C1341" s="1" t="s">
        <v>13</v>
      </c>
      <c r="D1341" s="1" t="s">
        <v>205</v>
      </c>
      <c r="E1341" s="1" t="s">
        <v>1686</v>
      </c>
      <c r="F1341" s="1" t="s">
        <v>39</v>
      </c>
      <c r="G1341" s="1" t="str">
        <f>"02603020401"</f>
        <v>02603020401</v>
      </c>
      <c r="I1341" s="1" t="s">
        <v>2926</v>
      </c>
      <c r="L1341" s="1" t="s">
        <v>44</v>
      </c>
      <c r="M1341" s="1" t="s">
        <v>917</v>
      </c>
      <c r="AG1341" s="1" t="s">
        <v>2927</v>
      </c>
      <c r="AH1341" s="2">
        <v>44927</v>
      </c>
      <c r="AI1341" s="2">
        <v>45291</v>
      </c>
      <c r="AJ1341" s="2">
        <v>44927</v>
      </c>
    </row>
    <row r="1342" spans="1:36">
      <c r="A1342" s="1" t="str">
        <f>"Z4C3A00B3D"</f>
        <v>Z4C3A00B3D</v>
      </c>
      <c r="B1342" s="1" t="str">
        <f t="shared" si="33"/>
        <v>02406911202</v>
      </c>
      <c r="C1342" s="1" t="s">
        <v>13</v>
      </c>
      <c r="D1342" s="1" t="s">
        <v>205</v>
      </c>
      <c r="E1342" s="1" t="s">
        <v>2928</v>
      </c>
      <c r="F1342" s="1" t="s">
        <v>49</v>
      </c>
      <c r="G1342" s="1" t="str">
        <f>"07045260630"</f>
        <v>07045260630</v>
      </c>
      <c r="I1342" s="1" t="s">
        <v>2929</v>
      </c>
      <c r="L1342" s="1" t="s">
        <v>44</v>
      </c>
      <c r="M1342" s="1" t="s">
        <v>2930</v>
      </c>
      <c r="AG1342" s="1" t="s">
        <v>2930</v>
      </c>
      <c r="AH1342" s="2">
        <v>44927</v>
      </c>
      <c r="AI1342" s="2">
        <v>45291</v>
      </c>
      <c r="AJ1342" s="2">
        <v>44927</v>
      </c>
    </row>
    <row r="1343" spans="1:36">
      <c r="A1343" s="1" t="str">
        <f>"Z3D39B2614"</f>
        <v>Z3D39B2614</v>
      </c>
      <c r="B1343" s="1" t="str">
        <f t="shared" si="33"/>
        <v>02406911202</v>
      </c>
      <c r="C1343" s="1" t="s">
        <v>13</v>
      </c>
      <c r="D1343" s="1" t="s">
        <v>37</v>
      </c>
      <c r="E1343" s="1" t="s">
        <v>2931</v>
      </c>
      <c r="F1343" s="1" t="s">
        <v>117</v>
      </c>
      <c r="G1343" s="1" t="str">
        <f>"01543860355"</f>
        <v>01543860355</v>
      </c>
      <c r="I1343" s="1" t="s">
        <v>2932</v>
      </c>
      <c r="L1343" s="1" t="s">
        <v>44</v>
      </c>
      <c r="M1343" s="1" t="s">
        <v>2933</v>
      </c>
      <c r="AG1343" s="1" t="s">
        <v>2934</v>
      </c>
      <c r="AH1343" s="2">
        <v>44927</v>
      </c>
      <c r="AI1343" s="2">
        <v>45473</v>
      </c>
      <c r="AJ1343" s="2">
        <v>44927</v>
      </c>
    </row>
    <row r="1344" spans="1:36">
      <c r="A1344" s="1" t="str">
        <f>"Z0039B2A34"</f>
        <v>Z0039B2A34</v>
      </c>
      <c r="B1344" s="1" t="str">
        <f t="shared" si="33"/>
        <v>02406911202</v>
      </c>
      <c r="C1344" s="1" t="s">
        <v>13</v>
      </c>
      <c r="D1344" s="1" t="s">
        <v>37</v>
      </c>
      <c r="E1344" s="1" t="s">
        <v>2935</v>
      </c>
      <c r="F1344" s="1" t="s">
        <v>117</v>
      </c>
      <c r="G1344" s="1" t="str">
        <f>"01543860355"</f>
        <v>01543860355</v>
      </c>
      <c r="I1344" s="1" t="s">
        <v>2932</v>
      </c>
      <c r="L1344" s="1" t="s">
        <v>44</v>
      </c>
      <c r="M1344" s="1" t="s">
        <v>2936</v>
      </c>
      <c r="AG1344" s="1" t="s">
        <v>124</v>
      </c>
      <c r="AH1344" s="2">
        <v>44927</v>
      </c>
      <c r="AI1344" s="2">
        <v>45473</v>
      </c>
      <c r="AJ1344" s="2">
        <v>44927</v>
      </c>
    </row>
    <row r="1345" spans="1:36">
      <c r="A1345" s="1" t="str">
        <f>"Z0239B2CBA"</f>
        <v>Z0239B2CBA</v>
      </c>
      <c r="B1345" s="1" t="str">
        <f t="shared" si="33"/>
        <v>02406911202</v>
      </c>
      <c r="C1345" s="1" t="s">
        <v>13</v>
      </c>
      <c r="D1345" s="1" t="s">
        <v>37</v>
      </c>
      <c r="E1345" s="1" t="s">
        <v>2937</v>
      </c>
      <c r="F1345" s="1" t="s">
        <v>117</v>
      </c>
      <c r="G1345" s="1" t="str">
        <f>"01543860355"</f>
        <v>01543860355</v>
      </c>
      <c r="I1345" s="1" t="s">
        <v>2932</v>
      </c>
      <c r="L1345" s="1" t="s">
        <v>44</v>
      </c>
      <c r="M1345" s="1" t="s">
        <v>2938</v>
      </c>
      <c r="AG1345" s="1" t="s">
        <v>124</v>
      </c>
      <c r="AH1345" s="2">
        <v>44927</v>
      </c>
      <c r="AI1345" s="2">
        <v>45473</v>
      </c>
      <c r="AJ1345" s="2">
        <v>44927</v>
      </c>
    </row>
    <row r="1346" spans="1:36">
      <c r="A1346" s="1" t="str">
        <f>"9580833182"</f>
        <v>9580833182</v>
      </c>
      <c r="B1346" s="1" t="str">
        <f t="shared" si="33"/>
        <v>02406911202</v>
      </c>
      <c r="C1346" s="1" t="s">
        <v>13</v>
      </c>
      <c r="D1346" s="1" t="s">
        <v>37</v>
      </c>
      <c r="E1346" s="1" t="s">
        <v>2939</v>
      </c>
      <c r="F1346" s="1" t="s">
        <v>39</v>
      </c>
      <c r="G1346" s="1" t="str">
        <f>"08056040960"</f>
        <v>08056040960</v>
      </c>
      <c r="I1346" s="1" t="s">
        <v>2940</v>
      </c>
      <c r="L1346" s="1" t="s">
        <v>44</v>
      </c>
      <c r="M1346" s="1" t="s">
        <v>2941</v>
      </c>
      <c r="AG1346" s="1" t="s">
        <v>2942</v>
      </c>
      <c r="AH1346" s="2">
        <v>44927</v>
      </c>
      <c r="AI1346" s="2">
        <v>45291</v>
      </c>
      <c r="AJ1346" s="2">
        <v>44927</v>
      </c>
    </row>
    <row r="1347" spans="1:36">
      <c r="A1347" s="1" t="str">
        <f>"95808596F5"</f>
        <v>95808596F5</v>
      </c>
      <c r="B1347" s="1" t="str">
        <f t="shared" si="33"/>
        <v>02406911202</v>
      </c>
      <c r="C1347" s="1" t="s">
        <v>13</v>
      </c>
      <c r="D1347" s="1" t="s">
        <v>37</v>
      </c>
      <c r="E1347" s="1" t="s">
        <v>2943</v>
      </c>
      <c r="F1347" s="1" t="s">
        <v>39</v>
      </c>
      <c r="G1347" s="1" t="str">
        <f>"11164410018"</f>
        <v>11164410018</v>
      </c>
      <c r="I1347" s="1" t="s">
        <v>1662</v>
      </c>
      <c r="L1347" s="1" t="s">
        <v>44</v>
      </c>
      <c r="M1347" s="1" t="s">
        <v>2944</v>
      </c>
      <c r="AG1347" s="1" t="s">
        <v>2945</v>
      </c>
      <c r="AH1347" s="2">
        <v>44927</v>
      </c>
      <c r="AI1347" s="2">
        <v>45291</v>
      </c>
      <c r="AJ1347" s="2">
        <v>44927</v>
      </c>
    </row>
    <row r="1348" spans="1:36">
      <c r="A1348" s="1" t="str">
        <f>"ZC43988C73"</f>
        <v>ZC43988C73</v>
      </c>
      <c r="B1348" s="1" t="str">
        <f t="shared" si="33"/>
        <v>02406911202</v>
      </c>
      <c r="C1348" s="1" t="s">
        <v>13</v>
      </c>
      <c r="D1348" s="1" t="s">
        <v>1253</v>
      </c>
      <c r="E1348" s="1" t="s">
        <v>2946</v>
      </c>
      <c r="F1348" s="1" t="s">
        <v>49</v>
      </c>
      <c r="G1348" s="1" t="str">
        <f>"06032681006"</f>
        <v>06032681006</v>
      </c>
      <c r="I1348" s="1" t="s">
        <v>1351</v>
      </c>
      <c r="L1348" s="1" t="s">
        <v>44</v>
      </c>
      <c r="M1348" s="1" t="s">
        <v>1255</v>
      </c>
      <c r="AG1348" s="1" t="s">
        <v>2947</v>
      </c>
      <c r="AH1348" s="2">
        <v>44943</v>
      </c>
      <c r="AI1348" s="2">
        <v>45291</v>
      </c>
      <c r="AJ1348" s="2">
        <v>44943</v>
      </c>
    </row>
    <row r="1349" spans="1:36">
      <c r="A1349" s="1" t="str">
        <f>"Z9B3988D2A"</f>
        <v>Z9B3988D2A</v>
      </c>
      <c r="B1349" s="1" t="str">
        <f t="shared" si="33"/>
        <v>02406911202</v>
      </c>
      <c r="C1349" s="1" t="s">
        <v>13</v>
      </c>
      <c r="D1349" s="1" t="s">
        <v>1253</v>
      </c>
      <c r="E1349" s="1" t="s">
        <v>1254</v>
      </c>
      <c r="F1349" s="1" t="s">
        <v>49</v>
      </c>
      <c r="G1349" s="1" t="str">
        <f>"06032681006"</f>
        <v>06032681006</v>
      </c>
      <c r="I1349" s="1" t="s">
        <v>1351</v>
      </c>
      <c r="L1349" s="1" t="s">
        <v>44</v>
      </c>
      <c r="M1349" s="1" t="s">
        <v>1255</v>
      </c>
      <c r="AG1349" s="1" t="s">
        <v>2948</v>
      </c>
      <c r="AH1349" s="2">
        <v>44943</v>
      </c>
      <c r="AI1349" s="2">
        <v>45291</v>
      </c>
      <c r="AJ1349" s="2">
        <v>44943</v>
      </c>
    </row>
    <row r="1350" spans="1:36">
      <c r="A1350" s="1" t="str">
        <f>"Z313988EFD"</f>
        <v>Z313988EFD</v>
      </c>
      <c r="B1350" s="1" t="str">
        <f t="shared" ref="B1350:B1413" si="34">"02406911202"</f>
        <v>02406911202</v>
      </c>
      <c r="C1350" s="1" t="s">
        <v>13</v>
      </c>
      <c r="D1350" s="1" t="s">
        <v>1253</v>
      </c>
      <c r="E1350" s="1" t="s">
        <v>1254</v>
      </c>
      <c r="F1350" s="1" t="s">
        <v>49</v>
      </c>
      <c r="G1350" s="1" t="str">
        <f>"00691781207"</f>
        <v>00691781207</v>
      </c>
      <c r="I1350" s="1" t="s">
        <v>704</v>
      </c>
      <c r="L1350" s="1" t="s">
        <v>44</v>
      </c>
      <c r="M1350" s="1" t="s">
        <v>1255</v>
      </c>
      <c r="AG1350" s="1" t="s">
        <v>2949</v>
      </c>
      <c r="AH1350" s="2">
        <v>44943</v>
      </c>
      <c r="AI1350" s="2">
        <v>45291</v>
      </c>
      <c r="AJ1350" s="2">
        <v>44943</v>
      </c>
    </row>
    <row r="1351" spans="1:36">
      <c r="A1351" s="1" t="str">
        <f>"Z9C3990FD6"</f>
        <v>Z9C3990FD6</v>
      </c>
      <c r="B1351" s="1" t="str">
        <f t="shared" si="34"/>
        <v>02406911202</v>
      </c>
      <c r="C1351" s="1" t="s">
        <v>13</v>
      </c>
      <c r="D1351" s="1" t="s">
        <v>1257</v>
      </c>
      <c r="E1351" s="1" t="s">
        <v>2950</v>
      </c>
      <c r="F1351" s="1" t="s">
        <v>49</v>
      </c>
      <c r="G1351" s="1" t="str">
        <f>"04181370372"</f>
        <v>04181370372</v>
      </c>
      <c r="I1351" s="1" t="s">
        <v>2951</v>
      </c>
      <c r="L1351" s="1" t="s">
        <v>44</v>
      </c>
      <c r="M1351" s="1" t="s">
        <v>946</v>
      </c>
      <c r="AG1351" s="1" t="s">
        <v>2163</v>
      </c>
      <c r="AH1351" s="2">
        <v>44945</v>
      </c>
      <c r="AI1351" s="2">
        <v>45291</v>
      </c>
      <c r="AJ1351" s="2">
        <v>44945</v>
      </c>
    </row>
    <row r="1352" spans="1:36">
      <c r="A1352" s="1" t="str">
        <f>"9616204693"</f>
        <v>9616204693</v>
      </c>
      <c r="B1352" s="1" t="str">
        <f t="shared" si="34"/>
        <v>02406911202</v>
      </c>
      <c r="C1352" s="1" t="s">
        <v>13</v>
      </c>
      <c r="D1352" s="1" t="s">
        <v>37</v>
      </c>
      <c r="E1352" s="1" t="s">
        <v>2952</v>
      </c>
      <c r="F1352" s="1" t="s">
        <v>117</v>
      </c>
      <c r="G1352" s="1" t="str">
        <f>"01260981004"</f>
        <v>01260981004</v>
      </c>
      <c r="I1352" s="1" t="s">
        <v>2044</v>
      </c>
      <c r="L1352" s="1" t="s">
        <v>44</v>
      </c>
      <c r="M1352" s="1" t="s">
        <v>2953</v>
      </c>
      <c r="AG1352" s="1" t="s">
        <v>2954</v>
      </c>
      <c r="AH1352" s="2">
        <v>44943</v>
      </c>
      <c r="AI1352" s="2">
        <v>46022</v>
      </c>
      <c r="AJ1352" s="2">
        <v>44943</v>
      </c>
    </row>
    <row r="1353" spans="1:36">
      <c r="A1353" s="1" t="str">
        <f>"9608620410"</f>
        <v>9608620410</v>
      </c>
      <c r="B1353" s="1" t="str">
        <f t="shared" si="34"/>
        <v>02406911202</v>
      </c>
      <c r="C1353" s="1" t="s">
        <v>13</v>
      </c>
      <c r="D1353" s="1" t="s">
        <v>37</v>
      </c>
      <c r="E1353" s="1" t="s">
        <v>2955</v>
      </c>
      <c r="F1353" s="1" t="s">
        <v>431</v>
      </c>
      <c r="G1353" s="1" t="str">
        <f>"09238800156"</f>
        <v>09238800156</v>
      </c>
      <c r="I1353" s="1" t="s">
        <v>88</v>
      </c>
      <c r="L1353" s="1" t="s">
        <v>44</v>
      </c>
      <c r="M1353" s="1" t="s">
        <v>2956</v>
      </c>
      <c r="AG1353" s="1" t="s">
        <v>2957</v>
      </c>
      <c r="AH1353" s="2">
        <v>44947</v>
      </c>
      <c r="AI1353" s="2">
        <v>46407</v>
      </c>
      <c r="AJ1353" s="2">
        <v>44947</v>
      </c>
    </row>
    <row r="1354" spans="1:36">
      <c r="A1354" s="1" t="str">
        <f>"9608803B12"</f>
        <v>9608803B12</v>
      </c>
      <c r="B1354" s="1" t="str">
        <f t="shared" si="34"/>
        <v>02406911202</v>
      </c>
      <c r="C1354" s="1" t="s">
        <v>13</v>
      </c>
      <c r="D1354" s="1" t="s">
        <v>37</v>
      </c>
      <c r="E1354" s="1" t="s">
        <v>2958</v>
      </c>
      <c r="F1354" s="1" t="s">
        <v>431</v>
      </c>
      <c r="G1354" s="1" t="str">
        <f>"07249200960"</f>
        <v>07249200960</v>
      </c>
      <c r="I1354" s="1" t="s">
        <v>2959</v>
      </c>
      <c r="L1354" s="1" t="s">
        <v>44</v>
      </c>
      <c r="M1354" s="1" t="s">
        <v>2960</v>
      </c>
      <c r="AG1354" s="1" t="s">
        <v>124</v>
      </c>
      <c r="AH1354" s="2">
        <v>44947</v>
      </c>
      <c r="AI1354" s="2">
        <v>46407</v>
      </c>
      <c r="AJ1354" s="2">
        <v>44947</v>
      </c>
    </row>
    <row r="1355" spans="1:36">
      <c r="A1355" s="1" t="str">
        <f>"Z6539A1581"</f>
        <v>Z6539A1581</v>
      </c>
      <c r="B1355" s="1" t="str">
        <f t="shared" si="34"/>
        <v>02406911202</v>
      </c>
      <c r="C1355" s="1" t="s">
        <v>13</v>
      </c>
      <c r="D1355" s="1" t="s">
        <v>1253</v>
      </c>
      <c r="E1355" s="1" t="s">
        <v>1254</v>
      </c>
      <c r="F1355" s="1" t="s">
        <v>49</v>
      </c>
      <c r="G1355" s="1" t="str">
        <f>"11160660152"</f>
        <v>11160660152</v>
      </c>
      <c r="I1355" s="1" t="s">
        <v>306</v>
      </c>
      <c r="L1355" s="1" t="s">
        <v>44</v>
      </c>
      <c r="M1355" s="1" t="s">
        <v>1255</v>
      </c>
      <c r="AG1355" s="1" t="s">
        <v>81</v>
      </c>
      <c r="AH1355" s="2">
        <v>44950</v>
      </c>
      <c r="AI1355" s="2">
        <v>45291</v>
      </c>
      <c r="AJ1355" s="2">
        <v>44950</v>
      </c>
    </row>
    <row r="1356" spans="1:36">
      <c r="A1356" s="1" t="str">
        <f>"96088176A1"</f>
        <v>96088176A1</v>
      </c>
      <c r="B1356" s="1" t="str">
        <f t="shared" si="34"/>
        <v>02406911202</v>
      </c>
      <c r="C1356" s="1" t="s">
        <v>13</v>
      </c>
      <c r="D1356" s="1" t="s">
        <v>37</v>
      </c>
      <c r="E1356" s="1" t="s">
        <v>2961</v>
      </c>
      <c r="F1356" s="1" t="s">
        <v>431</v>
      </c>
      <c r="G1356" s="1" t="str">
        <f>"05067060011"</f>
        <v>05067060011</v>
      </c>
      <c r="I1356" s="1" t="s">
        <v>1365</v>
      </c>
      <c r="L1356" s="1" t="s">
        <v>44</v>
      </c>
      <c r="M1356" s="1" t="s">
        <v>2962</v>
      </c>
      <c r="AG1356" s="1" t="s">
        <v>2963</v>
      </c>
      <c r="AH1356" s="2">
        <v>44947</v>
      </c>
      <c r="AI1356" s="2">
        <v>46407</v>
      </c>
      <c r="AJ1356" s="2">
        <v>44947</v>
      </c>
    </row>
    <row r="1357" spans="1:36">
      <c r="A1357" s="1" t="str">
        <f>"9608827EDF"</f>
        <v>9608827EDF</v>
      </c>
      <c r="B1357" s="1" t="str">
        <f t="shared" si="34"/>
        <v>02406911202</v>
      </c>
      <c r="C1357" s="1" t="s">
        <v>13</v>
      </c>
      <c r="D1357" s="1" t="s">
        <v>37</v>
      </c>
      <c r="E1357" s="1" t="s">
        <v>2964</v>
      </c>
      <c r="F1357" s="1" t="s">
        <v>431</v>
      </c>
      <c r="G1357" s="1" t="str">
        <f>"09058160152"</f>
        <v>09058160152</v>
      </c>
      <c r="I1357" s="1" t="s">
        <v>1357</v>
      </c>
      <c r="L1357" s="1" t="s">
        <v>44</v>
      </c>
      <c r="M1357" s="1" t="s">
        <v>2965</v>
      </c>
      <c r="AG1357" s="1" t="s">
        <v>124</v>
      </c>
      <c r="AH1357" s="2">
        <v>44947</v>
      </c>
      <c r="AI1357" s="2">
        <v>46407</v>
      </c>
      <c r="AJ1357" s="2">
        <v>44947</v>
      </c>
    </row>
    <row r="1358" spans="1:36">
      <c r="A1358" s="1" t="str">
        <f>"Z4F39A5E03"</f>
        <v>Z4F39A5E03</v>
      </c>
      <c r="B1358" s="1" t="str">
        <f t="shared" si="34"/>
        <v>02406911202</v>
      </c>
      <c r="C1358" s="1" t="s">
        <v>13</v>
      </c>
      <c r="D1358" s="1" t="s">
        <v>1253</v>
      </c>
      <c r="E1358" s="1" t="s">
        <v>1260</v>
      </c>
      <c r="F1358" s="1" t="s">
        <v>49</v>
      </c>
      <c r="G1358" s="1" t="str">
        <f>"12259760150"</f>
        <v>12259760150</v>
      </c>
      <c r="I1358" s="1" t="s">
        <v>1605</v>
      </c>
      <c r="L1358" s="1" t="s">
        <v>44</v>
      </c>
      <c r="M1358" s="1" t="s">
        <v>1255</v>
      </c>
      <c r="AG1358" s="1" t="s">
        <v>2966</v>
      </c>
      <c r="AH1358" s="2">
        <v>44951</v>
      </c>
      <c r="AI1358" s="2">
        <v>45291</v>
      </c>
      <c r="AJ1358" s="2">
        <v>44951</v>
      </c>
    </row>
    <row r="1359" spans="1:36">
      <c r="A1359" s="1" t="str">
        <f>"ZB639A6143"</f>
        <v>ZB639A6143</v>
      </c>
      <c r="B1359" s="1" t="str">
        <f t="shared" si="34"/>
        <v>02406911202</v>
      </c>
      <c r="C1359" s="1" t="s">
        <v>13</v>
      </c>
      <c r="D1359" s="1" t="s">
        <v>1257</v>
      </c>
      <c r="E1359" s="1" t="s">
        <v>2967</v>
      </c>
      <c r="F1359" s="1" t="s">
        <v>49</v>
      </c>
      <c r="G1359" s="1" t="str">
        <f>"04599620400"</f>
        <v>04599620400</v>
      </c>
      <c r="I1359" s="1" t="s">
        <v>2968</v>
      </c>
      <c r="L1359" s="1" t="s">
        <v>44</v>
      </c>
      <c r="M1359" s="1" t="s">
        <v>509</v>
      </c>
      <c r="AG1359" s="1" t="s">
        <v>2969</v>
      </c>
      <c r="AH1359" s="2">
        <v>44951</v>
      </c>
      <c r="AI1359" s="2">
        <v>45291</v>
      </c>
      <c r="AJ1359" s="2">
        <v>44951</v>
      </c>
    </row>
    <row r="1360" spans="1:36">
      <c r="A1360" s="1" t="str">
        <f>"Z4639B9A3D"</f>
        <v>Z4639B9A3D</v>
      </c>
      <c r="B1360" s="1" t="str">
        <f t="shared" si="34"/>
        <v>02406911202</v>
      </c>
      <c r="C1360" s="1" t="s">
        <v>13</v>
      </c>
      <c r="D1360" s="1" t="s">
        <v>1312</v>
      </c>
      <c r="E1360" s="1" t="s">
        <v>2970</v>
      </c>
      <c r="F1360" s="1" t="s">
        <v>49</v>
      </c>
      <c r="G1360" s="1" t="str">
        <f>"03712440969"</f>
        <v>03712440969</v>
      </c>
      <c r="I1360" s="1" t="s">
        <v>1380</v>
      </c>
      <c r="L1360" s="1" t="s">
        <v>44</v>
      </c>
      <c r="M1360" s="1" t="s">
        <v>1314</v>
      </c>
      <c r="AG1360" s="1" t="s">
        <v>124</v>
      </c>
      <c r="AH1360" s="2">
        <v>44956</v>
      </c>
      <c r="AI1360" s="2">
        <v>45291</v>
      </c>
      <c r="AJ1360" s="2">
        <v>44956</v>
      </c>
    </row>
    <row r="1361" spans="1:36">
      <c r="A1361" s="1" t="str">
        <f>"ZB039CB5BB"</f>
        <v>ZB039CB5BB</v>
      </c>
      <c r="B1361" s="1" t="str">
        <f t="shared" si="34"/>
        <v>02406911202</v>
      </c>
      <c r="C1361" s="1" t="s">
        <v>13</v>
      </c>
      <c r="D1361" s="1" t="s">
        <v>1253</v>
      </c>
      <c r="E1361" s="1" t="s">
        <v>1317</v>
      </c>
      <c r="F1361" s="1" t="s">
        <v>49</v>
      </c>
      <c r="G1361" s="1" t="str">
        <f>"05896100962"</f>
        <v>05896100962</v>
      </c>
      <c r="I1361" s="1" t="s">
        <v>1413</v>
      </c>
      <c r="L1361" s="1" t="s">
        <v>44</v>
      </c>
      <c r="M1361" s="1" t="s">
        <v>1255</v>
      </c>
      <c r="AG1361" s="1" t="s">
        <v>1475</v>
      </c>
      <c r="AH1361" s="2">
        <v>44960</v>
      </c>
      <c r="AI1361" s="2">
        <v>45291</v>
      </c>
      <c r="AJ1361" s="2">
        <v>44960</v>
      </c>
    </row>
    <row r="1362" spans="1:36">
      <c r="A1362" s="1" t="str">
        <f>"Z4639CB889"</f>
        <v>Z4639CB889</v>
      </c>
      <c r="B1362" s="1" t="str">
        <f t="shared" si="34"/>
        <v>02406911202</v>
      </c>
      <c r="C1362" s="1" t="s">
        <v>13</v>
      </c>
      <c r="D1362" s="1" t="s">
        <v>1253</v>
      </c>
      <c r="E1362" s="1" t="s">
        <v>1260</v>
      </c>
      <c r="F1362" s="1" t="s">
        <v>49</v>
      </c>
      <c r="G1362" s="1" t="str">
        <f>"01975020130"</f>
        <v>01975020130</v>
      </c>
      <c r="I1362" s="1" t="s">
        <v>1737</v>
      </c>
      <c r="L1362" s="1" t="s">
        <v>44</v>
      </c>
      <c r="M1362" s="1" t="s">
        <v>1255</v>
      </c>
      <c r="AG1362" s="1" t="s">
        <v>2971</v>
      </c>
      <c r="AH1362" s="2">
        <v>44960</v>
      </c>
      <c r="AI1362" s="2">
        <v>45291</v>
      </c>
      <c r="AJ1362" s="2">
        <v>44960</v>
      </c>
    </row>
    <row r="1363" spans="1:36">
      <c r="A1363" s="1" t="str">
        <f>"Z2C39CC137"</f>
        <v>Z2C39CC137</v>
      </c>
      <c r="B1363" s="1" t="str">
        <f t="shared" si="34"/>
        <v>02406911202</v>
      </c>
      <c r="C1363" s="1" t="s">
        <v>13</v>
      </c>
      <c r="D1363" s="1" t="s">
        <v>1253</v>
      </c>
      <c r="E1363" s="1" t="s">
        <v>1260</v>
      </c>
      <c r="F1363" s="1" t="s">
        <v>49</v>
      </c>
      <c r="G1363" s="1" t="str">
        <f>"12545310158"</f>
        <v>12545310158</v>
      </c>
      <c r="I1363" s="1" t="s">
        <v>2972</v>
      </c>
      <c r="L1363" s="1" t="s">
        <v>44</v>
      </c>
      <c r="M1363" s="1" t="s">
        <v>1255</v>
      </c>
      <c r="AG1363" s="1" t="s">
        <v>1255</v>
      </c>
      <c r="AH1363" s="2">
        <v>44960</v>
      </c>
      <c r="AI1363" s="2">
        <v>45291</v>
      </c>
      <c r="AJ1363" s="2">
        <v>44960</v>
      </c>
    </row>
    <row r="1364" spans="1:36">
      <c r="A1364" s="1" t="str">
        <f>"Z3539CC790"</f>
        <v>Z3539CC790</v>
      </c>
      <c r="B1364" s="1" t="str">
        <f t="shared" si="34"/>
        <v>02406911202</v>
      </c>
      <c r="C1364" s="1" t="s">
        <v>13</v>
      </c>
      <c r="D1364" s="1" t="s">
        <v>1253</v>
      </c>
      <c r="E1364" s="1" t="s">
        <v>1254</v>
      </c>
      <c r="F1364" s="1" t="s">
        <v>49</v>
      </c>
      <c r="G1364" s="1" t="str">
        <f>"05908740961"</f>
        <v>05908740961</v>
      </c>
      <c r="I1364" s="1" t="s">
        <v>603</v>
      </c>
      <c r="L1364" s="1" t="s">
        <v>44</v>
      </c>
      <c r="M1364" s="1" t="s">
        <v>1255</v>
      </c>
      <c r="AG1364" s="1" t="s">
        <v>2973</v>
      </c>
      <c r="AH1364" s="2">
        <v>44960</v>
      </c>
      <c r="AI1364" s="2">
        <v>45291</v>
      </c>
      <c r="AJ1364" s="2">
        <v>44960</v>
      </c>
    </row>
    <row r="1365" spans="1:36">
      <c r="A1365" s="1" t="str">
        <f>"Z2439CC6E7"</f>
        <v>Z2439CC6E7</v>
      </c>
      <c r="B1365" s="1" t="str">
        <f t="shared" si="34"/>
        <v>02406911202</v>
      </c>
      <c r="C1365" s="1" t="s">
        <v>13</v>
      </c>
      <c r="D1365" s="1" t="s">
        <v>1253</v>
      </c>
      <c r="E1365" s="1" t="s">
        <v>1254</v>
      </c>
      <c r="F1365" s="1" t="s">
        <v>49</v>
      </c>
      <c r="G1365" s="1" t="str">
        <f>"11570870961"</f>
        <v>11570870961</v>
      </c>
      <c r="I1365" s="1" t="s">
        <v>1597</v>
      </c>
      <c r="L1365" s="1" t="s">
        <v>44</v>
      </c>
      <c r="M1365" s="1" t="s">
        <v>1255</v>
      </c>
      <c r="AG1365" s="1" t="s">
        <v>2974</v>
      </c>
      <c r="AH1365" s="2">
        <v>44960</v>
      </c>
      <c r="AI1365" s="2">
        <v>45291</v>
      </c>
      <c r="AJ1365" s="2">
        <v>44960</v>
      </c>
    </row>
    <row r="1366" spans="1:36">
      <c r="A1366" s="1" t="str">
        <f>"Z9839CB620"</f>
        <v>Z9839CB620</v>
      </c>
      <c r="B1366" s="1" t="str">
        <f t="shared" si="34"/>
        <v>02406911202</v>
      </c>
      <c r="C1366" s="1" t="s">
        <v>13</v>
      </c>
      <c r="D1366" s="1" t="s">
        <v>1253</v>
      </c>
      <c r="E1366" s="1" t="s">
        <v>1317</v>
      </c>
      <c r="F1366" s="1" t="s">
        <v>49</v>
      </c>
      <c r="G1366" s="1" t="str">
        <f>"11206730159"</f>
        <v>11206730159</v>
      </c>
      <c r="I1366" s="1" t="s">
        <v>192</v>
      </c>
      <c r="L1366" s="1" t="s">
        <v>44</v>
      </c>
      <c r="M1366" s="1" t="s">
        <v>1255</v>
      </c>
      <c r="AG1366" s="1" t="s">
        <v>2975</v>
      </c>
      <c r="AH1366" s="2">
        <v>44960</v>
      </c>
      <c r="AI1366" s="2">
        <v>45291</v>
      </c>
      <c r="AJ1366" s="2">
        <v>44960</v>
      </c>
    </row>
    <row r="1367" spans="1:36">
      <c r="A1367" s="1" t="str">
        <f>"Z2039E80FF"</f>
        <v>Z2039E80FF</v>
      </c>
      <c r="B1367" s="1" t="str">
        <f t="shared" si="34"/>
        <v>02406911202</v>
      </c>
      <c r="C1367" s="1" t="s">
        <v>13</v>
      </c>
      <c r="D1367" s="1" t="s">
        <v>1257</v>
      </c>
      <c r="E1367" s="1" t="s">
        <v>2976</v>
      </c>
      <c r="F1367" s="1" t="s">
        <v>49</v>
      </c>
      <c r="G1367" s="1" t="str">
        <f>"00175410265"</f>
        <v>00175410265</v>
      </c>
      <c r="I1367" s="1" t="s">
        <v>2977</v>
      </c>
      <c r="L1367" s="1" t="s">
        <v>44</v>
      </c>
      <c r="M1367" s="1" t="s">
        <v>153</v>
      </c>
      <c r="AG1367" s="1" t="s">
        <v>2978</v>
      </c>
      <c r="AH1367" s="2">
        <v>44967</v>
      </c>
      <c r="AI1367" s="2">
        <v>45291</v>
      </c>
      <c r="AJ1367" s="2">
        <v>44967</v>
      </c>
    </row>
    <row r="1368" spans="1:36">
      <c r="A1368" s="1" t="str">
        <f>"Z2D39ED8D2"</f>
        <v>Z2D39ED8D2</v>
      </c>
      <c r="B1368" s="1" t="str">
        <f t="shared" si="34"/>
        <v>02406911202</v>
      </c>
      <c r="C1368" s="1" t="s">
        <v>13</v>
      </c>
      <c r="D1368" s="1" t="s">
        <v>1312</v>
      </c>
      <c r="E1368" s="1" t="s">
        <v>1424</v>
      </c>
      <c r="F1368" s="1" t="s">
        <v>49</v>
      </c>
      <c r="G1368" s="1" t="str">
        <f>"01228210371"</f>
        <v>01228210371</v>
      </c>
      <c r="I1368" s="1" t="s">
        <v>1425</v>
      </c>
      <c r="L1368" s="1" t="s">
        <v>44</v>
      </c>
      <c r="M1368" s="1" t="s">
        <v>1314</v>
      </c>
      <c r="AG1368" s="1" t="s">
        <v>1426</v>
      </c>
      <c r="AH1368" s="2">
        <v>44970</v>
      </c>
      <c r="AI1368" s="2">
        <v>46022</v>
      </c>
      <c r="AJ1368" s="2">
        <v>44970</v>
      </c>
    </row>
    <row r="1369" spans="1:36">
      <c r="A1369" s="1" t="str">
        <f>"9648117604"</f>
        <v>9648117604</v>
      </c>
      <c r="B1369" s="1" t="str">
        <f t="shared" si="34"/>
        <v>02406911202</v>
      </c>
      <c r="C1369" s="1" t="s">
        <v>13</v>
      </c>
      <c r="D1369" s="1" t="s">
        <v>37</v>
      </c>
      <c r="E1369" s="1" t="s">
        <v>1627</v>
      </c>
      <c r="F1369" s="1" t="s">
        <v>117</v>
      </c>
      <c r="G1369" s="1" t="str">
        <f>"11264670156"</f>
        <v>11264670156</v>
      </c>
      <c r="I1369" s="1" t="s">
        <v>64</v>
      </c>
      <c r="L1369" s="1" t="s">
        <v>44</v>
      </c>
      <c r="M1369" s="1" t="s">
        <v>638</v>
      </c>
      <c r="AG1369" s="1" t="s">
        <v>2979</v>
      </c>
      <c r="AH1369" s="2">
        <v>44941</v>
      </c>
      <c r="AI1369" s="2">
        <v>45291</v>
      </c>
      <c r="AJ1369" s="2">
        <v>44941</v>
      </c>
    </row>
    <row r="1370" spans="1:36">
      <c r="A1370" s="1" t="str">
        <f>"Z8339E04B0"</f>
        <v>Z8339E04B0</v>
      </c>
      <c r="B1370" s="1" t="str">
        <f t="shared" si="34"/>
        <v>02406911202</v>
      </c>
      <c r="C1370" s="1" t="s">
        <v>13</v>
      </c>
      <c r="D1370" s="1" t="s">
        <v>37</v>
      </c>
      <c r="E1370" s="1" t="s">
        <v>1627</v>
      </c>
      <c r="F1370" s="1" t="s">
        <v>117</v>
      </c>
      <c r="G1370" s="1" t="str">
        <f>"00803890151"</f>
        <v>00803890151</v>
      </c>
      <c r="I1370" s="1" t="s">
        <v>68</v>
      </c>
      <c r="L1370" s="1" t="s">
        <v>44</v>
      </c>
      <c r="M1370" s="1" t="s">
        <v>2980</v>
      </c>
      <c r="AG1370" s="1" t="s">
        <v>2981</v>
      </c>
      <c r="AH1370" s="2">
        <v>44941</v>
      </c>
      <c r="AI1370" s="2">
        <v>45291</v>
      </c>
      <c r="AJ1370" s="2">
        <v>44941</v>
      </c>
    </row>
    <row r="1371" spans="1:36">
      <c r="A1371" s="1" t="str">
        <f>"964813440C"</f>
        <v>964813440C</v>
      </c>
      <c r="B1371" s="1" t="str">
        <f t="shared" si="34"/>
        <v>02406911202</v>
      </c>
      <c r="C1371" s="1" t="s">
        <v>13</v>
      </c>
      <c r="D1371" s="1" t="s">
        <v>37</v>
      </c>
      <c r="E1371" s="1" t="s">
        <v>1627</v>
      </c>
      <c r="F1371" s="1" t="s">
        <v>117</v>
      </c>
      <c r="G1371" s="1" t="str">
        <f>"11206730159"</f>
        <v>11206730159</v>
      </c>
      <c r="I1371" s="1" t="s">
        <v>192</v>
      </c>
      <c r="L1371" s="1" t="s">
        <v>44</v>
      </c>
      <c r="M1371" s="1" t="s">
        <v>148</v>
      </c>
      <c r="AG1371" s="1" t="s">
        <v>2982</v>
      </c>
      <c r="AH1371" s="2">
        <v>44941</v>
      </c>
      <c r="AI1371" s="2">
        <v>45291</v>
      </c>
      <c r="AJ1371" s="2">
        <v>44941</v>
      </c>
    </row>
    <row r="1372" spans="1:36">
      <c r="A1372" s="1" t="str">
        <f>"ZF439EF3FC"</f>
        <v>ZF439EF3FC</v>
      </c>
      <c r="B1372" s="1" t="str">
        <f t="shared" si="34"/>
        <v>02406911202</v>
      </c>
      <c r="C1372" s="1" t="s">
        <v>13</v>
      </c>
      <c r="D1372" s="1" t="s">
        <v>1253</v>
      </c>
      <c r="E1372" s="1" t="s">
        <v>1387</v>
      </c>
      <c r="F1372" s="1" t="s">
        <v>49</v>
      </c>
      <c r="G1372" s="1" t="str">
        <f>"01258691003"</f>
        <v>01258691003</v>
      </c>
      <c r="I1372" s="1" t="s">
        <v>2027</v>
      </c>
      <c r="L1372" s="1" t="s">
        <v>44</v>
      </c>
      <c r="M1372" s="1" t="s">
        <v>153</v>
      </c>
      <c r="AG1372" s="1" t="s">
        <v>2983</v>
      </c>
      <c r="AH1372" s="2">
        <v>44970</v>
      </c>
      <c r="AI1372" s="2">
        <v>45291</v>
      </c>
      <c r="AJ1372" s="2">
        <v>44970</v>
      </c>
    </row>
    <row r="1373" spans="1:36">
      <c r="A1373" s="1" t="str">
        <f>"Z3A39D8333"</f>
        <v>Z3A39D8333</v>
      </c>
      <c r="B1373" s="1" t="str">
        <f t="shared" si="34"/>
        <v>02406911202</v>
      </c>
      <c r="C1373" s="1" t="s">
        <v>13</v>
      </c>
      <c r="D1373" s="1" t="s">
        <v>1253</v>
      </c>
      <c r="E1373" s="1" t="s">
        <v>1387</v>
      </c>
      <c r="F1373" s="1" t="s">
        <v>49</v>
      </c>
      <c r="G1373" s="1" t="str">
        <f>"00228550273"</f>
        <v>00228550273</v>
      </c>
      <c r="I1373" s="1" t="s">
        <v>1717</v>
      </c>
      <c r="L1373" s="1" t="s">
        <v>44</v>
      </c>
      <c r="M1373" s="1" t="s">
        <v>1255</v>
      </c>
      <c r="AG1373" s="1" t="s">
        <v>2984</v>
      </c>
      <c r="AH1373" s="2">
        <v>44964</v>
      </c>
      <c r="AI1373" s="2">
        <v>45291</v>
      </c>
      <c r="AJ1373" s="2">
        <v>44964</v>
      </c>
    </row>
    <row r="1374" spans="1:36">
      <c r="A1374" s="1" t="str">
        <f>"Z8639B0BAC"</f>
        <v>Z8639B0BAC</v>
      </c>
      <c r="B1374" s="1" t="str">
        <f t="shared" si="34"/>
        <v>02406911202</v>
      </c>
      <c r="C1374" s="1" t="s">
        <v>13</v>
      </c>
      <c r="D1374" s="1" t="s">
        <v>1257</v>
      </c>
      <c r="E1374" s="1" t="s">
        <v>2985</v>
      </c>
      <c r="F1374" s="1" t="s">
        <v>49</v>
      </c>
      <c r="G1374" s="1" t="str">
        <f>"09695290966"</f>
        <v>09695290966</v>
      </c>
      <c r="I1374" s="1" t="s">
        <v>2986</v>
      </c>
      <c r="L1374" s="1" t="s">
        <v>44</v>
      </c>
      <c r="M1374" s="1" t="s">
        <v>1397</v>
      </c>
      <c r="AG1374" s="1" t="s">
        <v>2987</v>
      </c>
      <c r="AH1374" s="2">
        <v>44927</v>
      </c>
      <c r="AI1374" s="2">
        <v>45291</v>
      </c>
      <c r="AJ1374" s="2">
        <v>44927</v>
      </c>
    </row>
    <row r="1375" spans="1:36">
      <c r="A1375" s="1" t="str">
        <f>"Z2A39F2091"</f>
        <v>Z2A39F2091</v>
      </c>
      <c r="B1375" s="1" t="str">
        <f t="shared" si="34"/>
        <v>02406911202</v>
      </c>
      <c r="C1375" s="1" t="s">
        <v>13</v>
      </c>
      <c r="D1375" s="1" t="s">
        <v>1312</v>
      </c>
      <c r="E1375" s="1" t="s">
        <v>2988</v>
      </c>
      <c r="F1375" s="1" t="s">
        <v>49</v>
      </c>
      <c r="G1375" s="1" t="str">
        <f>"05342840286"</f>
        <v>05342840286</v>
      </c>
      <c r="I1375" s="1" t="s">
        <v>2989</v>
      </c>
      <c r="L1375" s="1" t="s">
        <v>44</v>
      </c>
      <c r="M1375" s="1" t="s">
        <v>2147</v>
      </c>
      <c r="AG1375" s="1" t="s">
        <v>2990</v>
      </c>
      <c r="AH1375" s="2">
        <v>44971</v>
      </c>
      <c r="AI1375" s="2">
        <v>45291</v>
      </c>
      <c r="AJ1375" s="2">
        <v>44971</v>
      </c>
    </row>
    <row r="1376" spans="1:36">
      <c r="A1376" s="1" t="str">
        <f>"ZD039B0C02"</f>
        <v>ZD039B0C02</v>
      </c>
      <c r="B1376" s="1" t="str">
        <f t="shared" si="34"/>
        <v>02406911202</v>
      </c>
      <c r="C1376" s="1" t="s">
        <v>13</v>
      </c>
      <c r="D1376" s="1" t="s">
        <v>1257</v>
      </c>
      <c r="E1376" s="1" t="s">
        <v>2991</v>
      </c>
      <c r="F1376" s="1" t="s">
        <v>49</v>
      </c>
      <c r="G1376" s="1" t="str">
        <f>"01137680938"</f>
        <v>01137680938</v>
      </c>
      <c r="I1376" s="1" t="s">
        <v>2143</v>
      </c>
      <c r="L1376" s="1" t="s">
        <v>44</v>
      </c>
      <c r="M1376" s="1" t="s">
        <v>2992</v>
      </c>
      <c r="AG1376" s="1" t="s">
        <v>2992</v>
      </c>
      <c r="AH1376" s="2">
        <v>44927</v>
      </c>
      <c r="AI1376" s="2">
        <v>45291</v>
      </c>
      <c r="AJ1376" s="2">
        <v>44927</v>
      </c>
    </row>
    <row r="1377" spans="1:36">
      <c r="A1377" s="1" t="str">
        <f>"9707385385"</f>
        <v>9707385385</v>
      </c>
      <c r="B1377" s="1" t="str">
        <f t="shared" si="34"/>
        <v>02406911202</v>
      </c>
      <c r="C1377" s="1" t="s">
        <v>13</v>
      </c>
      <c r="D1377" s="1" t="s">
        <v>37</v>
      </c>
      <c r="E1377" s="1" t="s">
        <v>2993</v>
      </c>
      <c r="F1377" s="1" t="s">
        <v>39</v>
      </c>
      <c r="G1377" s="1" t="str">
        <f>"06991390961"</f>
        <v>06991390961</v>
      </c>
      <c r="I1377" s="1" t="s">
        <v>2994</v>
      </c>
      <c r="L1377" s="1" t="s">
        <v>44</v>
      </c>
      <c r="M1377" s="1" t="s">
        <v>2995</v>
      </c>
      <c r="AG1377" s="1" t="s">
        <v>2996</v>
      </c>
      <c r="AH1377" s="2">
        <v>45000</v>
      </c>
      <c r="AI1377" s="2">
        <v>45091</v>
      </c>
      <c r="AJ1377" s="2">
        <v>45000</v>
      </c>
    </row>
    <row r="1378" spans="1:36">
      <c r="A1378" s="1" t="str">
        <f>"Z823A80F35"</f>
        <v>Z823A80F35</v>
      </c>
      <c r="B1378" s="1" t="str">
        <f t="shared" si="34"/>
        <v>02406911202</v>
      </c>
      <c r="C1378" s="1" t="s">
        <v>13</v>
      </c>
      <c r="D1378" s="1" t="s">
        <v>1312</v>
      </c>
      <c r="E1378" s="1" t="s">
        <v>2997</v>
      </c>
      <c r="F1378" s="1" t="s">
        <v>49</v>
      </c>
      <c r="G1378" s="1" t="str">
        <f>"10994940152"</f>
        <v>10994940152</v>
      </c>
      <c r="I1378" s="1" t="s">
        <v>177</v>
      </c>
      <c r="L1378" s="1" t="s">
        <v>44</v>
      </c>
      <c r="M1378" s="1" t="s">
        <v>1314</v>
      </c>
      <c r="AG1378" s="1" t="s">
        <v>2998</v>
      </c>
      <c r="AH1378" s="2">
        <v>45008</v>
      </c>
      <c r="AI1378" s="2">
        <v>45657</v>
      </c>
      <c r="AJ1378" s="2">
        <v>45008</v>
      </c>
    </row>
    <row r="1379" spans="1:36">
      <c r="A1379" s="1" t="str">
        <f>"ZC63A83C02"</f>
        <v>ZC63A83C02</v>
      </c>
      <c r="B1379" s="1" t="str">
        <f t="shared" si="34"/>
        <v>02406911202</v>
      </c>
      <c r="C1379" s="1" t="s">
        <v>13</v>
      </c>
      <c r="D1379" s="1" t="s">
        <v>1253</v>
      </c>
      <c r="E1379" s="1" t="s">
        <v>1254</v>
      </c>
      <c r="F1379" s="1" t="s">
        <v>49</v>
      </c>
      <c r="G1379" s="1" t="str">
        <f>"02173550282"</f>
        <v>02173550282</v>
      </c>
      <c r="I1379" s="1" t="s">
        <v>634</v>
      </c>
      <c r="L1379" s="1" t="s">
        <v>44</v>
      </c>
      <c r="M1379" s="1" t="s">
        <v>1255</v>
      </c>
      <c r="AG1379" s="1" t="s">
        <v>2999</v>
      </c>
      <c r="AH1379" s="2">
        <v>45008</v>
      </c>
      <c r="AI1379" s="2">
        <v>45291</v>
      </c>
      <c r="AJ1379" s="2">
        <v>45008</v>
      </c>
    </row>
    <row r="1380" spans="1:36">
      <c r="A1380" s="1" t="str">
        <f>"ZB93A83C6D"</f>
        <v>ZB93A83C6D</v>
      </c>
      <c r="B1380" s="1" t="str">
        <f t="shared" si="34"/>
        <v>02406911202</v>
      </c>
      <c r="C1380" s="1" t="s">
        <v>13</v>
      </c>
      <c r="D1380" s="1" t="s">
        <v>1253</v>
      </c>
      <c r="E1380" s="1" t="s">
        <v>1254</v>
      </c>
      <c r="F1380" s="1" t="s">
        <v>49</v>
      </c>
      <c r="G1380" s="1" t="str">
        <f>"04156880371"</f>
        <v>04156880371</v>
      </c>
      <c r="I1380" s="1" t="s">
        <v>1307</v>
      </c>
      <c r="L1380" s="1" t="s">
        <v>44</v>
      </c>
      <c r="M1380" s="1" t="s">
        <v>1255</v>
      </c>
      <c r="AG1380" s="1" t="s">
        <v>3000</v>
      </c>
      <c r="AH1380" s="2">
        <v>45008</v>
      </c>
      <c r="AI1380" s="2">
        <v>45291</v>
      </c>
      <c r="AJ1380" s="2">
        <v>45008</v>
      </c>
    </row>
    <row r="1381" spans="1:36">
      <c r="A1381" s="1" t="str">
        <f>"9713189920"</f>
        <v>9713189920</v>
      </c>
      <c r="B1381" s="1" t="str">
        <f t="shared" si="34"/>
        <v>02406911202</v>
      </c>
      <c r="C1381" s="1" t="s">
        <v>13</v>
      </c>
      <c r="D1381" s="1" t="s">
        <v>1253</v>
      </c>
      <c r="E1381" s="1" t="s">
        <v>1260</v>
      </c>
      <c r="F1381" s="1" t="s">
        <v>49</v>
      </c>
      <c r="G1381" s="1" t="str">
        <f>"04289840268"</f>
        <v>04289840268</v>
      </c>
      <c r="I1381" s="1" t="s">
        <v>1296</v>
      </c>
      <c r="L1381" s="1" t="s">
        <v>44</v>
      </c>
      <c r="M1381" s="1" t="s">
        <v>2739</v>
      </c>
      <c r="AG1381" s="1" t="s">
        <v>3001</v>
      </c>
      <c r="AH1381" s="2">
        <v>45009</v>
      </c>
      <c r="AI1381" s="2">
        <v>45291</v>
      </c>
      <c r="AJ1381" s="2">
        <v>45009</v>
      </c>
    </row>
    <row r="1382" spans="1:36">
      <c r="A1382" s="1" t="str">
        <f>"ZF73A830B4"</f>
        <v>ZF73A830B4</v>
      </c>
      <c r="B1382" s="1" t="str">
        <f t="shared" si="34"/>
        <v>02406911202</v>
      </c>
      <c r="C1382" s="1" t="s">
        <v>13</v>
      </c>
      <c r="D1382" s="1" t="s">
        <v>1253</v>
      </c>
      <c r="E1382" s="1" t="s">
        <v>1317</v>
      </c>
      <c r="F1382" s="1" t="s">
        <v>49</v>
      </c>
      <c r="G1382" s="1" t="str">
        <f>"08082461008"</f>
        <v>08082461008</v>
      </c>
      <c r="I1382" s="1" t="s">
        <v>423</v>
      </c>
      <c r="L1382" s="1" t="s">
        <v>44</v>
      </c>
      <c r="M1382" s="1" t="s">
        <v>1255</v>
      </c>
      <c r="AG1382" s="1" t="s">
        <v>3002</v>
      </c>
      <c r="AH1382" s="2">
        <v>45009</v>
      </c>
      <c r="AI1382" s="2">
        <v>45291</v>
      </c>
      <c r="AJ1382" s="2">
        <v>45009</v>
      </c>
    </row>
    <row r="1383" spans="1:36">
      <c r="A1383" s="1" t="str">
        <f>"Z123A85ED5"</f>
        <v>Z123A85ED5</v>
      </c>
      <c r="B1383" s="1" t="str">
        <f t="shared" si="34"/>
        <v>02406911202</v>
      </c>
      <c r="C1383" s="1" t="s">
        <v>13</v>
      </c>
      <c r="D1383" s="1" t="s">
        <v>1253</v>
      </c>
      <c r="E1383" s="1" t="s">
        <v>1254</v>
      </c>
      <c r="F1383" s="1" t="s">
        <v>49</v>
      </c>
      <c r="G1383" s="1" t="str">
        <f>"06032681006"</f>
        <v>06032681006</v>
      </c>
      <c r="I1383" s="1" t="s">
        <v>1351</v>
      </c>
      <c r="L1383" s="1" t="s">
        <v>44</v>
      </c>
      <c r="M1383" s="1" t="s">
        <v>1255</v>
      </c>
      <c r="AG1383" s="1" t="s">
        <v>3003</v>
      </c>
      <c r="AH1383" s="2">
        <v>45009</v>
      </c>
      <c r="AI1383" s="2">
        <v>45291</v>
      </c>
      <c r="AJ1383" s="2">
        <v>45009</v>
      </c>
    </row>
    <row r="1384" spans="1:36">
      <c r="A1384" s="1" t="str">
        <f>"ZA23A86063"</f>
        <v>ZA23A86063</v>
      </c>
      <c r="B1384" s="1" t="str">
        <f t="shared" si="34"/>
        <v>02406911202</v>
      </c>
      <c r="C1384" s="1" t="s">
        <v>13</v>
      </c>
      <c r="D1384" s="1" t="s">
        <v>1253</v>
      </c>
      <c r="E1384" s="1" t="s">
        <v>1260</v>
      </c>
      <c r="F1384" s="1" t="s">
        <v>49</v>
      </c>
      <c r="G1384" s="1" t="str">
        <f>"02803471206"</f>
        <v>02803471206</v>
      </c>
      <c r="I1384" s="1" t="s">
        <v>1638</v>
      </c>
      <c r="L1384" s="1" t="s">
        <v>44</v>
      </c>
      <c r="M1384" s="1" t="s">
        <v>1255</v>
      </c>
      <c r="AG1384" s="1" t="s">
        <v>1684</v>
      </c>
      <c r="AH1384" s="2">
        <v>45009</v>
      </c>
      <c r="AI1384" s="2">
        <v>45291</v>
      </c>
      <c r="AJ1384" s="2">
        <v>45009</v>
      </c>
    </row>
    <row r="1385" spans="1:36">
      <c r="A1385" s="1" t="str">
        <f>"Z0D3A04C9E"</f>
        <v>Z0D3A04C9E</v>
      </c>
      <c r="B1385" s="1" t="str">
        <f t="shared" si="34"/>
        <v>02406911202</v>
      </c>
      <c r="C1385" s="1" t="s">
        <v>13</v>
      </c>
      <c r="D1385" s="1" t="s">
        <v>1312</v>
      </c>
      <c r="E1385" s="1" t="s">
        <v>3004</v>
      </c>
      <c r="F1385" s="1" t="s">
        <v>49</v>
      </c>
      <c r="G1385" s="1" t="str">
        <f>"09238800156"</f>
        <v>09238800156</v>
      </c>
      <c r="I1385" s="1" t="s">
        <v>88</v>
      </c>
      <c r="L1385" s="1" t="s">
        <v>44</v>
      </c>
      <c r="M1385" s="1" t="s">
        <v>1314</v>
      </c>
      <c r="AG1385" s="1" t="s">
        <v>3005</v>
      </c>
      <c r="AH1385" s="2">
        <v>44974</v>
      </c>
      <c r="AI1385" s="2">
        <v>45382</v>
      </c>
      <c r="AJ1385" s="2">
        <v>44974</v>
      </c>
    </row>
    <row r="1386" spans="1:36">
      <c r="A1386" s="1" t="str">
        <f t="shared" ref="A1386:A1399" si="35">"Z9B3A09630"</f>
        <v>Z9B3A09630</v>
      </c>
      <c r="B1386" s="1" t="str">
        <f t="shared" si="34"/>
        <v>02406911202</v>
      </c>
      <c r="C1386" s="1" t="s">
        <v>13</v>
      </c>
      <c r="D1386" s="1" t="s">
        <v>205</v>
      </c>
      <c r="E1386" s="1" t="s">
        <v>3006</v>
      </c>
      <c r="F1386" s="1" t="s">
        <v>49</v>
      </c>
      <c r="G1386" s="1" t="str">
        <f>"03462630371"</f>
        <v>03462630371</v>
      </c>
      <c r="I1386" s="1" t="s">
        <v>3007</v>
      </c>
      <c r="L1386" s="1" t="s">
        <v>44</v>
      </c>
      <c r="M1386" s="1" t="s">
        <v>3008</v>
      </c>
      <c r="AG1386" s="1" t="s">
        <v>3009</v>
      </c>
      <c r="AH1386" s="2">
        <v>44927</v>
      </c>
      <c r="AI1386" s="2">
        <v>45291</v>
      </c>
      <c r="AJ1386" s="2">
        <v>44927</v>
      </c>
    </row>
    <row r="1387" spans="1:36">
      <c r="A1387" s="1" t="str">
        <f t="shared" si="35"/>
        <v>Z9B3A09630</v>
      </c>
      <c r="B1387" s="1" t="str">
        <f t="shared" si="34"/>
        <v>02406911202</v>
      </c>
      <c r="C1387" s="1" t="s">
        <v>13</v>
      </c>
      <c r="D1387" s="1" t="s">
        <v>205</v>
      </c>
      <c r="E1387" s="1" t="s">
        <v>3006</v>
      </c>
      <c r="F1387" s="1" t="s">
        <v>49</v>
      </c>
      <c r="G1387" s="1" t="str">
        <f>"02303400374"</f>
        <v>02303400374</v>
      </c>
      <c r="I1387" s="1" t="s">
        <v>3010</v>
      </c>
      <c r="L1387" s="1" t="s">
        <v>44</v>
      </c>
      <c r="M1387" s="1" t="s">
        <v>3008</v>
      </c>
      <c r="AG1387" s="1" t="s">
        <v>3009</v>
      </c>
      <c r="AH1387" s="2">
        <v>44927</v>
      </c>
      <c r="AI1387" s="2">
        <v>45291</v>
      </c>
      <c r="AJ1387" s="2">
        <v>44927</v>
      </c>
    </row>
    <row r="1388" spans="1:36">
      <c r="A1388" s="1" t="str">
        <f t="shared" si="35"/>
        <v>Z9B3A09630</v>
      </c>
      <c r="B1388" s="1" t="str">
        <f t="shared" si="34"/>
        <v>02406911202</v>
      </c>
      <c r="C1388" s="1" t="s">
        <v>13</v>
      </c>
      <c r="D1388" s="1" t="s">
        <v>205</v>
      </c>
      <c r="E1388" s="1" t="s">
        <v>3006</v>
      </c>
      <c r="F1388" s="1" t="s">
        <v>49</v>
      </c>
      <c r="G1388" s="1" t="str">
        <f>"03919780373"</f>
        <v>03919780373</v>
      </c>
      <c r="I1388" s="1" t="s">
        <v>3011</v>
      </c>
      <c r="L1388" s="1" t="s">
        <v>44</v>
      </c>
      <c r="M1388" s="1" t="s">
        <v>3008</v>
      </c>
      <c r="AG1388" s="1" t="s">
        <v>3009</v>
      </c>
      <c r="AH1388" s="2">
        <v>44927</v>
      </c>
      <c r="AI1388" s="2">
        <v>45291</v>
      </c>
      <c r="AJ1388" s="2">
        <v>44927</v>
      </c>
    </row>
    <row r="1389" spans="1:36">
      <c r="A1389" s="1" t="str">
        <f t="shared" si="35"/>
        <v>Z9B3A09630</v>
      </c>
      <c r="B1389" s="1" t="str">
        <f t="shared" si="34"/>
        <v>02406911202</v>
      </c>
      <c r="C1389" s="1" t="s">
        <v>13</v>
      </c>
      <c r="D1389" s="1" t="s">
        <v>205</v>
      </c>
      <c r="E1389" s="1" t="s">
        <v>3006</v>
      </c>
      <c r="F1389" s="1" t="s">
        <v>49</v>
      </c>
      <c r="G1389" s="1" t="str">
        <f>"01103290373"</f>
        <v>01103290373</v>
      </c>
      <c r="I1389" s="1" t="s">
        <v>3012</v>
      </c>
      <c r="L1389" s="1" t="s">
        <v>44</v>
      </c>
      <c r="M1389" s="1" t="s">
        <v>3008</v>
      </c>
      <c r="AG1389" s="1" t="s">
        <v>3009</v>
      </c>
      <c r="AH1389" s="2">
        <v>44927</v>
      </c>
      <c r="AI1389" s="2">
        <v>45291</v>
      </c>
      <c r="AJ1389" s="2">
        <v>44927</v>
      </c>
    </row>
    <row r="1390" spans="1:36">
      <c r="A1390" s="1" t="str">
        <f t="shared" si="35"/>
        <v>Z9B3A09630</v>
      </c>
      <c r="B1390" s="1" t="str">
        <f t="shared" si="34"/>
        <v>02406911202</v>
      </c>
      <c r="C1390" s="1" t="s">
        <v>13</v>
      </c>
      <c r="D1390" s="1" t="s">
        <v>205</v>
      </c>
      <c r="E1390" s="1" t="s">
        <v>3006</v>
      </c>
      <c r="F1390" s="1" t="s">
        <v>49</v>
      </c>
      <c r="G1390" s="1" t="str">
        <f>"01691601205"</f>
        <v>01691601205</v>
      </c>
      <c r="I1390" s="1" t="s">
        <v>3013</v>
      </c>
      <c r="L1390" s="1" t="s">
        <v>44</v>
      </c>
      <c r="M1390" s="1" t="s">
        <v>3008</v>
      </c>
      <c r="AG1390" s="1" t="s">
        <v>3009</v>
      </c>
      <c r="AH1390" s="2">
        <v>44927</v>
      </c>
      <c r="AI1390" s="2">
        <v>45291</v>
      </c>
      <c r="AJ1390" s="2">
        <v>44927</v>
      </c>
    </row>
    <row r="1391" spans="1:36">
      <c r="A1391" s="1" t="str">
        <f t="shared" si="35"/>
        <v>Z9B3A09630</v>
      </c>
      <c r="B1391" s="1" t="str">
        <f t="shared" si="34"/>
        <v>02406911202</v>
      </c>
      <c r="C1391" s="1" t="s">
        <v>13</v>
      </c>
      <c r="D1391" s="1" t="s">
        <v>205</v>
      </c>
      <c r="E1391" s="1" t="s">
        <v>3006</v>
      </c>
      <c r="F1391" s="1" t="s">
        <v>49</v>
      </c>
      <c r="G1391" s="1" t="str">
        <f>"03930360379"</f>
        <v>03930360379</v>
      </c>
      <c r="I1391" s="1" t="s">
        <v>3014</v>
      </c>
      <c r="L1391" s="1" t="s">
        <v>44</v>
      </c>
      <c r="M1391" s="1" t="s">
        <v>3008</v>
      </c>
      <c r="AG1391" s="1" t="s">
        <v>3009</v>
      </c>
      <c r="AH1391" s="2">
        <v>44927</v>
      </c>
      <c r="AI1391" s="2">
        <v>45291</v>
      </c>
      <c r="AJ1391" s="2">
        <v>44927</v>
      </c>
    </row>
    <row r="1392" spans="1:36">
      <c r="A1392" s="1" t="str">
        <f t="shared" si="35"/>
        <v>Z9B3A09630</v>
      </c>
      <c r="B1392" s="1" t="str">
        <f t="shared" si="34"/>
        <v>02406911202</v>
      </c>
      <c r="C1392" s="1" t="s">
        <v>13</v>
      </c>
      <c r="D1392" s="1" t="s">
        <v>205</v>
      </c>
      <c r="E1392" s="1" t="s">
        <v>3006</v>
      </c>
      <c r="F1392" s="1" t="s">
        <v>49</v>
      </c>
      <c r="G1392" s="1" t="str">
        <f>"03927620371"</f>
        <v>03927620371</v>
      </c>
      <c r="I1392" s="1" t="s">
        <v>3015</v>
      </c>
      <c r="L1392" s="1" t="s">
        <v>44</v>
      </c>
      <c r="M1392" s="1" t="s">
        <v>3008</v>
      </c>
      <c r="AG1392" s="1" t="s">
        <v>3009</v>
      </c>
      <c r="AH1392" s="2">
        <v>44927</v>
      </c>
      <c r="AI1392" s="2">
        <v>45291</v>
      </c>
      <c r="AJ1392" s="2">
        <v>44927</v>
      </c>
    </row>
    <row r="1393" spans="1:36">
      <c r="A1393" s="1" t="str">
        <f t="shared" si="35"/>
        <v>Z9B3A09630</v>
      </c>
      <c r="B1393" s="1" t="str">
        <f t="shared" si="34"/>
        <v>02406911202</v>
      </c>
      <c r="C1393" s="1" t="s">
        <v>13</v>
      </c>
      <c r="D1393" s="1" t="s">
        <v>205</v>
      </c>
      <c r="E1393" s="1" t="s">
        <v>3006</v>
      </c>
      <c r="F1393" s="1" t="s">
        <v>49</v>
      </c>
      <c r="G1393" s="1" t="str">
        <f>"03920870379"</f>
        <v>03920870379</v>
      </c>
      <c r="I1393" s="1" t="s">
        <v>3016</v>
      </c>
      <c r="L1393" s="1" t="s">
        <v>44</v>
      </c>
      <c r="M1393" s="1" t="s">
        <v>3008</v>
      </c>
      <c r="AG1393" s="1" t="s">
        <v>3009</v>
      </c>
      <c r="AH1393" s="2">
        <v>44927</v>
      </c>
      <c r="AI1393" s="2">
        <v>45291</v>
      </c>
      <c r="AJ1393" s="2">
        <v>44927</v>
      </c>
    </row>
    <row r="1394" spans="1:36">
      <c r="A1394" s="1" t="str">
        <f t="shared" si="35"/>
        <v>Z9B3A09630</v>
      </c>
      <c r="B1394" s="1" t="str">
        <f t="shared" si="34"/>
        <v>02406911202</v>
      </c>
      <c r="C1394" s="1" t="s">
        <v>13</v>
      </c>
      <c r="D1394" s="1" t="s">
        <v>205</v>
      </c>
      <c r="E1394" s="1" t="s">
        <v>3006</v>
      </c>
      <c r="F1394" s="1" t="s">
        <v>49</v>
      </c>
      <c r="G1394" s="1" t="str">
        <f>"01208150373"</f>
        <v>01208150373</v>
      </c>
      <c r="I1394" s="1" t="s">
        <v>3017</v>
      </c>
      <c r="L1394" s="1" t="s">
        <v>44</v>
      </c>
      <c r="M1394" s="1" t="s">
        <v>3008</v>
      </c>
      <c r="AG1394" s="1" t="s">
        <v>3009</v>
      </c>
      <c r="AH1394" s="2">
        <v>44927</v>
      </c>
      <c r="AI1394" s="2">
        <v>45291</v>
      </c>
      <c r="AJ1394" s="2">
        <v>44927</v>
      </c>
    </row>
    <row r="1395" spans="1:36">
      <c r="A1395" s="1" t="str">
        <f t="shared" si="35"/>
        <v>Z9B3A09630</v>
      </c>
      <c r="B1395" s="1" t="str">
        <f t="shared" si="34"/>
        <v>02406911202</v>
      </c>
      <c r="C1395" s="1" t="s">
        <v>13</v>
      </c>
      <c r="D1395" s="1" t="s">
        <v>205</v>
      </c>
      <c r="E1395" s="1" t="s">
        <v>3006</v>
      </c>
      <c r="F1395" s="1" t="s">
        <v>49</v>
      </c>
      <c r="G1395" s="1" t="str">
        <f>"91317830379"</f>
        <v>91317830379</v>
      </c>
      <c r="I1395" s="1" t="s">
        <v>3018</v>
      </c>
      <c r="L1395" s="1" t="s">
        <v>44</v>
      </c>
      <c r="M1395" s="1" t="s">
        <v>3008</v>
      </c>
      <c r="AG1395" s="1" t="s">
        <v>3009</v>
      </c>
      <c r="AH1395" s="2">
        <v>44927</v>
      </c>
      <c r="AI1395" s="2">
        <v>45291</v>
      </c>
      <c r="AJ1395" s="2">
        <v>44927</v>
      </c>
    </row>
    <row r="1396" spans="1:36">
      <c r="A1396" s="1" t="str">
        <f t="shared" si="35"/>
        <v>Z9B3A09630</v>
      </c>
      <c r="B1396" s="1" t="str">
        <f t="shared" si="34"/>
        <v>02406911202</v>
      </c>
      <c r="C1396" s="1" t="s">
        <v>13</v>
      </c>
      <c r="D1396" s="1" t="s">
        <v>205</v>
      </c>
      <c r="E1396" s="1" t="s">
        <v>3006</v>
      </c>
      <c r="F1396" s="1" t="s">
        <v>49</v>
      </c>
      <c r="G1396" s="1" t="str">
        <f>"03290660376"</f>
        <v>03290660376</v>
      </c>
      <c r="I1396" s="1" t="s">
        <v>3019</v>
      </c>
      <c r="L1396" s="1" t="s">
        <v>44</v>
      </c>
      <c r="M1396" s="1" t="s">
        <v>3008</v>
      </c>
      <c r="AG1396" s="1" t="s">
        <v>3009</v>
      </c>
      <c r="AH1396" s="2">
        <v>44927</v>
      </c>
      <c r="AI1396" s="2">
        <v>45291</v>
      </c>
      <c r="AJ1396" s="2">
        <v>44927</v>
      </c>
    </row>
    <row r="1397" spans="1:36">
      <c r="A1397" s="1" t="str">
        <f t="shared" si="35"/>
        <v>Z9B3A09630</v>
      </c>
      <c r="B1397" s="1" t="str">
        <f t="shared" si="34"/>
        <v>02406911202</v>
      </c>
      <c r="C1397" s="1" t="s">
        <v>13</v>
      </c>
      <c r="D1397" s="1" t="s">
        <v>205</v>
      </c>
      <c r="E1397" s="1" t="s">
        <v>3006</v>
      </c>
      <c r="F1397" s="1" t="s">
        <v>49</v>
      </c>
      <c r="G1397" s="1" t="str">
        <f>"02055971200"</f>
        <v>02055971200</v>
      </c>
      <c r="I1397" s="1" t="s">
        <v>3020</v>
      </c>
      <c r="L1397" s="1" t="s">
        <v>44</v>
      </c>
      <c r="M1397" s="1" t="s">
        <v>3008</v>
      </c>
      <c r="AG1397" s="1" t="s">
        <v>3009</v>
      </c>
      <c r="AH1397" s="2">
        <v>44927</v>
      </c>
      <c r="AI1397" s="2">
        <v>45291</v>
      </c>
      <c r="AJ1397" s="2">
        <v>44927</v>
      </c>
    </row>
    <row r="1398" spans="1:36">
      <c r="A1398" s="1" t="str">
        <f t="shared" si="35"/>
        <v>Z9B3A09630</v>
      </c>
      <c r="B1398" s="1" t="str">
        <f t="shared" si="34"/>
        <v>02406911202</v>
      </c>
      <c r="C1398" s="1" t="s">
        <v>13</v>
      </c>
      <c r="D1398" s="1" t="s">
        <v>205</v>
      </c>
      <c r="E1398" s="1" t="s">
        <v>3006</v>
      </c>
      <c r="F1398" s="1" t="s">
        <v>49</v>
      </c>
      <c r="G1398" s="1" t="str">
        <f>"03720310378"</f>
        <v>03720310378</v>
      </c>
      <c r="I1398" s="1" t="s">
        <v>3021</v>
      </c>
      <c r="L1398" s="1" t="s">
        <v>44</v>
      </c>
      <c r="M1398" s="1" t="s">
        <v>3008</v>
      </c>
      <c r="AG1398" s="1" t="s">
        <v>3009</v>
      </c>
      <c r="AH1398" s="2">
        <v>44927</v>
      </c>
      <c r="AI1398" s="2">
        <v>45291</v>
      </c>
      <c r="AJ1398" s="2">
        <v>44927</v>
      </c>
    </row>
    <row r="1399" spans="1:36">
      <c r="A1399" s="1" t="str">
        <f t="shared" si="35"/>
        <v>Z9B3A09630</v>
      </c>
      <c r="B1399" s="1" t="str">
        <f t="shared" si="34"/>
        <v>02406911202</v>
      </c>
      <c r="C1399" s="1" t="s">
        <v>13</v>
      </c>
      <c r="D1399" s="1" t="s">
        <v>205</v>
      </c>
      <c r="E1399" s="1" t="s">
        <v>3006</v>
      </c>
      <c r="F1399" s="1" t="s">
        <v>49</v>
      </c>
      <c r="G1399" s="1" t="str">
        <f>"04089560371"</f>
        <v>04089560371</v>
      </c>
      <c r="I1399" s="1" t="s">
        <v>3022</v>
      </c>
      <c r="L1399" s="1" t="s">
        <v>44</v>
      </c>
      <c r="M1399" s="1" t="s">
        <v>3008</v>
      </c>
      <c r="AG1399" s="1" t="s">
        <v>3009</v>
      </c>
      <c r="AH1399" s="2">
        <v>44927</v>
      </c>
      <c r="AI1399" s="2">
        <v>45291</v>
      </c>
      <c r="AJ1399" s="2">
        <v>44927</v>
      </c>
    </row>
    <row r="1400" spans="1:36">
      <c r="A1400" s="1" t="str">
        <f>"ZD03A0F7D0"</f>
        <v>ZD03A0F7D0</v>
      </c>
      <c r="B1400" s="1" t="str">
        <f t="shared" si="34"/>
        <v>02406911202</v>
      </c>
      <c r="C1400" s="1" t="s">
        <v>13</v>
      </c>
      <c r="D1400" s="1" t="s">
        <v>1257</v>
      </c>
      <c r="E1400" s="1" t="s">
        <v>3023</v>
      </c>
      <c r="F1400" s="1" t="s">
        <v>49</v>
      </c>
      <c r="G1400" s="1" t="str">
        <f>"01579240936"</f>
        <v>01579240936</v>
      </c>
      <c r="I1400" s="1" t="s">
        <v>3024</v>
      </c>
      <c r="L1400" s="1" t="s">
        <v>44</v>
      </c>
      <c r="M1400" s="1" t="s">
        <v>946</v>
      </c>
      <c r="AG1400" s="1" t="s">
        <v>3025</v>
      </c>
      <c r="AH1400" s="2">
        <v>44979</v>
      </c>
      <c r="AI1400" s="2">
        <v>45291</v>
      </c>
      <c r="AJ1400" s="2">
        <v>44979</v>
      </c>
    </row>
    <row r="1401" spans="1:36">
      <c r="A1401" s="1" t="str">
        <f>"Z9F3A1002D"</f>
        <v>Z9F3A1002D</v>
      </c>
      <c r="B1401" s="1" t="str">
        <f t="shared" si="34"/>
        <v>02406911202</v>
      </c>
      <c r="C1401" s="1" t="s">
        <v>13</v>
      </c>
      <c r="D1401" s="1" t="s">
        <v>1312</v>
      </c>
      <c r="E1401" s="1" t="s">
        <v>3026</v>
      </c>
      <c r="F1401" s="1" t="s">
        <v>49</v>
      </c>
      <c r="G1401" s="1" t="str">
        <f>"00735000572"</f>
        <v>00735000572</v>
      </c>
      <c r="I1401" s="1" t="s">
        <v>887</v>
      </c>
      <c r="L1401" s="1" t="s">
        <v>44</v>
      </c>
      <c r="M1401" s="1" t="s">
        <v>949</v>
      </c>
      <c r="AG1401" s="1" t="s">
        <v>3027</v>
      </c>
      <c r="AH1401" s="2">
        <v>44979</v>
      </c>
      <c r="AI1401" s="2">
        <v>45291</v>
      </c>
      <c r="AJ1401" s="2">
        <v>44979</v>
      </c>
    </row>
    <row r="1402" spans="1:36">
      <c r="A1402" s="1" t="str">
        <f>"ZB63A0FF83"</f>
        <v>ZB63A0FF83</v>
      </c>
      <c r="B1402" s="1" t="str">
        <f t="shared" si="34"/>
        <v>02406911202</v>
      </c>
      <c r="C1402" s="1" t="s">
        <v>13</v>
      </c>
      <c r="D1402" s="1" t="s">
        <v>1253</v>
      </c>
      <c r="E1402" s="1" t="s">
        <v>1260</v>
      </c>
      <c r="F1402" s="1" t="s">
        <v>49</v>
      </c>
      <c r="G1402" s="1" t="str">
        <f>"09270550016"</f>
        <v>09270550016</v>
      </c>
      <c r="I1402" s="1" t="s">
        <v>1328</v>
      </c>
      <c r="L1402" s="1" t="s">
        <v>44</v>
      </c>
      <c r="M1402" s="1" t="s">
        <v>1255</v>
      </c>
      <c r="AG1402" s="1" t="s">
        <v>3028</v>
      </c>
      <c r="AH1402" s="2">
        <v>44979</v>
      </c>
      <c r="AI1402" s="2">
        <v>45291</v>
      </c>
      <c r="AJ1402" s="2">
        <v>44979</v>
      </c>
    </row>
    <row r="1403" spans="1:36">
      <c r="A1403" s="1" t="str">
        <f>"ZE23A11B0F"</f>
        <v>ZE23A11B0F</v>
      </c>
      <c r="B1403" s="1" t="str">
        <f t="shared" si="34"/>
        <v>02406911202</v>
      </c>
      <c r="C1403" s="1" t="s">
        <v>13</v>
      </c>
      <c r="D1403" s="1" t="s">
        <v>1253</v>
      </c>
      <c r="E1403" s="1" t="s">
        <v>1254</v>
      </c>
      <c r="F1403" s="1" t="s">
        <v>49</v>
      </c>
      <c r="G1403" s="1" t="str">
        <f>"01368670384"</f>
        <v>01368670384</v>
      </c>
      <c r="I1403" s="1" t="s">
        <v>162</v>
      </c>
      <c r="L1403" s="1" t="s">
        <v>44</v>
      </c>
      <c r="M1403" s="1" t="s">
        <v>1255</v>
      </c>
      <c r="AG1403" s="1" t="s">
        <v>3029</v>
      </c>
      <c r="AH1403" s="2">
        <v>44979</v>
      </c>
      <c r="AI1403" s="2">
        <v>45291</v>
      </c>
      <c r="AJ1403" s="2">
        <v>44979</v>
      </c>
    </row>
    <row r="1404" spans="1:36">
      <c r="A1404" s="1" t="str">
        <f>"Z7B3A176EA"</f>
        <v>Z7B3A176EA</v>
      </c>
      <c r="B1404" s="1" t="str">
        <f t="shared" si="34"/>
        <v>02406911202</v>
      </c>
      <c r="C1404" s="1" t="s">
        <v>13</v>
      </c>
      <c r="D1404" s="1" t="s">
        <v>1253</v>
      </c>
      <c r="E1404" s="1" t="s">
        <v>1260</v>
      </c>
      <c r="F1404" s="1" t="s">
        <v>49</v>
      </c>
      <c r="G1404" s="1" t="str">
        <f>"04289840268"</f>
        <v>04289840268</v>
      </c>
      <c r="I1404" s="1" t="s">
        <v>1296</v>
      </c>
      <c r="L1404" s="1" t="s">
        <v>44</v>
      </c>
      <c r="M1404" s="1" t="s">
        <v>1255</v>
      </c>
      <c r="AG1404" s="1" t="s">
        <v>831</v>
      </c>
      <c r="AH1404" s="2">
        <v>44980</v>
      </c>
      <c r="AI1404" s="2">
        <v>45291</v>
      </c>
      <c r="AJ1404" s="2">
        <v>44980</v>
      </c>
    </row>
    <row r="1405" spans="1:36">
      <c r="A1405" s="1" t="str">
        <f>"Z693A177F2"</f>
        <v>Z693A177F2</v>
      </c>
      <c r="B1405" s="1" t="str">
        <f t="shared" si="34"/>
        <v>02406911202</v>
      </c>
      <c r="C1405" s="1" t="s">
        <v>13</v>
      </c>
      <c r="D1405" s="1" t="s">
        <v>1253</v>
      </c>
      <c r="E1405" s="1" t="s">
        <v>1260</v>
      </c>
      <c r="F1405" s="1" t="s">
        <v>49</v>
      </c>
      <c r="G1405" s="1" t="str">
        <f>"04289840268"</f>
        <v>04289840268</v>
      </c>
      <c r="I1405" s="1" t="s">
        <v>1296</v>
      </c>
      <c r="L1405" s="1" t="s">
        <v>44</v>
      </c>
      <c r="M1405" s="1" t="s">
        <v>1255</v>
      </c>
      <c r="AG1405" s="1" t="s">
        <v>2161</v>
      </c>
      <c r="AH1405" s="2">
        <v>44980</v>
      </c>
      <c r="AI1405" s="2">
        <v>45291</v>
      </c>
      <c r="AJ1405" s="2">
        <v>44980</v>
      </c>
    </row>
    <row r="1406" spans="1:36">
      <c r="A1406" s="1" t="str">
        <f>"ZDA3A11400"</f>
        <v>ZDA3A11400</v>
      </c>
      <c r="B1406" s="1" t="str">
        <f t="shared" si="34"/>
        <v>02406911202</v>
      </c>
      <c r="C1406" s="1" t="s">
        <v>13</v>
      </c>
      <c r="D1406" s="1" t="s">
        <v>37</v>
      </c>
      <c r="E1406" s="1" t="s">
        <v>3030</v>
      </c>
      <c r="F1406" s="1" t="s">
        <v>39</v>
      </c>
      <c r="G1406" s="1" t="str">
        <f>"11030881004"</f>
        <v>11030881004</v>
      </c>
      <c r="I1406" s="1" t="s">
        <v>3031</v>
      </c>
      <c r="L1406" s="1" t="s">
        <v>44</v>
      </c>
      <c r="M1406" s="1" t="s">
        <v>1448</v>
      </c>
      <c r="AG1406" s="1" t="s">
        <v>3032</v>
      </c>
      <c r="AH1406" s="2">
        <v>44981</v>
      </c>
      <c r="AI1406" s="2">
        <v>45138</v>
      </c>
      <c r="AJ1406" s="2">
        <v>44981</v>
      </c>
    </row>
    <row r="1407" spans="1:36">
      <c r="A1407" s="1" t="str">
        <f>"ZF639907BD"</f>
        <v>ZF639907BD</v>
      </c>
      <c r="B1407" s="1" t="str">
        <f t="shared" si="34"/>
        <v>02406911202</v>
      </c>
      <c r="C1407" s="1" t="s">
        <v>13</v>
      </c>
      <c r="D1407" s="1" t="s">
        <v>1253</v>
      </c>
      <c r="E1407" s="1" t="s">
        <v>1260</v>
      </c>
      <c r="F1407" s="1" t="s">
        <v>49</v>
      </c>
      <c r="G1407" s="1" t="str">
        <f>"09301330966"</f>
        <v>09301330966</v>
      </c>
      <c r="I1407" s="1" t="s">
        <v>553</v>
      </c>
      <c r="L1407" s="1" t="s">
        <v>44</v>
      </c>
      <c r="M1407" s="1" t="s">
        <v>1255</v>
      </c>
      <c r="AG1407" s="1" t="s">
        <v>3033</v>
      </c>
      <c r="AH1407" s="2">
        <v>44945</v>
      </c>
      <c r="AI1407" s="2">
        <v>45291</v>
      </c>
      <c r="AJ1407" s="2">
        <v>44945</v>
      </c>
    </row>
    <row r="1408" spans="1:36">
      <c r="A1408" s="1" t="str">
        <f>"ZE4399AA8C"</f>
        <v>ZE4399AA8C</v>
      </c>
      <c r="B1408" s="1" t="str">
        <f t="shared" si="34"/>
        <v>02406911202</v>
      </c>
      <c r="C1408" s="1" t="s">
        <v>13</v>
      </c>
      <c r="D1408" s="1" t="s">
        <v>1253</v>
      </c>
      <c r="E1408" s="1" t="s">
        <v>3034</v>
      </c>
      <c r="F1408" s="1" t="s">
        <v>49</v>
      </c>
      <c r="G1408" s="1" t="str">
        <f>"07351260158"</f>
        <v>07351260158</v>
      </c>
      <c r="I1408" s="1" t="s">
        <v>3035</v>
      </c>
      <c r="L1408" s="1" t="s">
        <v>44</v>
      </c>
      <c r="M1408" s="1" t="s">
        <v>1255</v>
      </c>
      <c r="AG1408" s="1" t="s">
        <v>3036</v>
      </c>
      <c r="AH1408" s="2">
        <v>44947</v>
      </c>
      <c r="AI1408" s="2">
        <v>45291</v>
      </c>
      <c r="AJ1408" s="2">
        <v>44947</v>
      </c>
    </row>
    <row r="1409" spans="1:36">
      <c r="A1409" s="1" t="str">
        <f>"Z6739AB1F0"</f>
        <v>Z6739AB1F0</v>
      </c>
      <c r="B1409" s="1" t="str">
        <f t="shared" si="34"/>
        <v>02406911202</v>
      </c>
      <c r="C1409" s="1" t="s">
        <v>13</v>
      </c>
      <c r="D1409" s="1" t="s">
        <v>1257</v>
      </c>
      <c r="E1409" s="1" t="s">
        <v>3037</v>
      </c>
      <c r="F1409" s="1" t="s">
        <v>49</v>
      </c>
      <c r="G1409" s="1" t="str">
        <f>"00673410379"</f>
        <v>00673410379</v>
      </c>
      <c r="I1409" s="1" t="s">
        <v>3038</v>
      </c>
      <c r="L1409" s="1" t="s">
        <v>44</v>
      </c>
      <c r="M1409" s="1" t="s">
        <v>917</v>
      </c>
      <c r="AG1409" s="1" t="s">
        <v>3039</v>
      </c>
      <c r="AH1409" s="2">
        <v>44927</v>
      </c>
      <c r="AI1409" s="2">
        <v>45291</v>
      </c>
      <c r="AJ1409" s="2">
        <v>44927</v>
      </c>
    </row>
    <row r="1410" spans="1:36">
      <c r="A1410" s="1" t="str">
        <f>"Z9D39B1CA8"</f>
        <v>Z9D39B1CA8</v>
      </c>
      <c r="B1410" s="1" t="str">
        <f t="shared" si="34"/>
        <v>02406911202</v>
      </c>
      <c r="C1410" s="1" t="s">
        <v>13</v>
      </c>
      <c r="D1410" s="1" t="s">
        <v>1253</v>
      </c>
      <c r="E1410" s="1" t="s">
        <v>1270</v>
      </c>
      <c r="F1410" s="1" t="s">
        <v>49</v>
      </c>
      <c r="G1410" s="1" t="str">
        <f>"02368591208"</f>
        <v>02368591208</v>
      </c>
      <c r="I1410" s="1" t="s">
        <v>444</v>
      </c>
      <c r="L1410" s="1" t="s">
        <v>44</v>
      </c>
      <c r="M1410" s="1" t="s">
        <v>1255</v>
      </c>
      <c r="AG1410" s="1" t="s">
        <v>3040</v>
      </c>
      <c r="AH1410" s="2">
        <v>44953</v>
      </c>
      <c r="AI1410" s="2">
        <v>45291</v>
      </c>
      <c r="AJ1410" s="2">
        <v>44953</v>
      </c>
    </row>
    <row r="1411" spans="1:36">
      <c r="A1411" s="1" t="str">
        <f>"ZC139B236B"</f>
        <v>ZC139B236B</v>
      </c>
      <c r="B1411" s="1" t="str">
        <f t="shared" si="34"/>
        <v>02406911202</v>
      </c>
      <c r="C1411" s="1" t="s">
        <v>13</v>
      </c>
      <c r="D1411" s="1" t="s">
        <v>1253</v>
      </c>
      <c r="E1411" s="1" t="s">
        <v>1270</v>
      </c>
      <c r="F1411" s="1" t="s">
        <v>49</v>
      </c>
      <c r="G1411" s="1" t="str">
        <f>"02368591208"</f>
        <v>02368591208</v>
      </c>
      <c r="I1411" s="1" t="s">
        <v>444</v>
      </c>
      <c r="L1411" s="1" t="s">
        <v>44</v>
      </c>
      <c r="M1411" s="1" t="s">
        <v>1255</v>
      </c>
      <c r="AG1411" s="1" t="s">
        <v>3041</v>
      </c>
      <c r="AH1411" s="2">
        <v>44953</v>
      </c>
      <c r="AI1411" s="2">
        <v>45291</v>
      </c>
      <c r="AJ1411" s="2">
        <v>44953</v>
      </c>
    </row>
    <row r="1412" spans="1:36">
      <c r="A1412" s="1" t="str">
        <f>"Z3339B7BA0"</f>
        <v>Z3339B7BA0</v>
      </c>
      <c r="B1412" s="1" t="str">
        <f t="shared" si="34"/>
        <v>02406911202</v>
      </c>
      <c r="C1412" s="1" t="s">
        <v>13</v>
      </c>
      <c r="D1412" s="1" t="s">
        <v>1312</v>
      </c>
      <c r="E1412" s="1" t="s">
        <v>3042</v>
      </c>
      <c r="F1412" s="1" t="s">
        <v>49</v>
      </c>
      <c r="G1412" s="1" t="str">
        <f>"11360920968"</f>
        <v>11360920968</v>
      </c>
      <c r="I1412" s="1" t="s">
        <v>1532</v>
      </c>
      <c r="L1412" s="1" t="s">
        <v>44</v>
      </c>
      <c r="M1412" s="1" t="s">
        <v>1314</v>
      </c>
      <c r="AG1412" s="1" t="s">
        <v>3043</v>
      </c>
      <c r="AH1412" s="2">
        <v>44956</v>
      </c>
      <c r="AI1412" s="2">
        <v>46022</v>
      </c>
      <c r="AJ1412" s="2">
        <v>44956</v>
      </c>
    </row>
    <row r="1413" spans="1:36">
      <c r="A1413" s="1" t="str">
        <f>"Z8A39B9BE6"</f>
        <v>Z8A39B9BE6</v>
      </c>
      <c r="B1413" s="1" t="str">
        <f t="shared" si="34"/>
        <v>02406911202</v>
      </c>
      <c r="C1413" s="1" t="s">
        <v>13</v>
      </c>
      <c r="D1413" s="1" t="s">
        <v>1257</v>
      </c>
      <c r="E1413" s="1" t="s">
        <v>3044</v>
      </c>
      <c r="F1413" s="1" t="s">
        <v>49</v>
      </c>
      <c r="G1413" s="1" t="str">
        <f>"00831011200"</f>
        <v>00831011200</v>
      </c>
      <c r="I1413" s="1" t="s">
        <v>2645</v>
      </c>
      <c r="L1413" s="1" t="s">
        <v>44</v>
      </c>
      <c r="M1413" s="1" t="s">
        <v>3045</v>
      </c>
      <c r="AG1413" s="1" t="s">
        <v>124</v>
      </c>
      <c r="AH1413" s="2">
        <v>44956</v>
      </c>
      <c r="AI1413" s="2">
        <v>44985</v>
      </c>
      <c r="AJ1413" s="2">
        <v>44956</v>
      </c>
    </row>
    <row r="1414" spans="1:36">
      <c r="A1414" s="1" t="str">
        <f>"ZE739BAE1A"</f>
        <v>ZE739BAE1A</v>
      </c>
      <c r="B1414" s="1" t="str">
        <f t="shared" ref="B1414:B1477" si="36">"02406911202"</f>
        <v>02406911202</v>
      </c>
      <c r="C1414" s="1" t="s">
        <v>13</v>
      </c>
      <c r="D1414" s="1" t="s">
        <v>1257</v>
      </c>
      <c r="E1414" s="1" t="s">
        <v>3046</v>
      </c>
      <c r="F1414" s="1" t="s">
        <v>49</v>
      </c>
      <c r="G1414" s="1" t="str">
        <f>"00803890151"</f>
        <v>00803890151</v>
      </c>
      <c r="I1414" s="1" t="s">
        <v>68</v>
      </c>
      <c r="L1414" s="1" t="s">
        <v>44</v>
      </c>
      <c r="M1414" s="1" t="s">
        <v>103</v>
      </c>
      <c r="AG1414" s="1" t="s">
        <v>3047</v>
      </c>
      <c r="AH1414" s="2">
        <v>44957</v>
      </c>
      <c r="AI1414" s="2">
        <v>45291</v>
      </c>
      <c r="AJ1414" s="2">
        <v>44957</v>
      </c>
    </row>
    <row r="1415" spans="1:36">
      <c r="A1415" s="1" t="str">
        <f>"Z5139EEE4A"</f>
        <v>Z5139EEE4A</v>
      </c>
      <c r="B1415" s="1" t="str">
        <f t="shared" si="36"/>
        <v>02406911202</v>
      </c>
      <c r="C1415" s="1" t="s">
        <v>13</v>
      </c>
      <c r="D1415" s="1" t="s">
        <v>1253</v>
      </c>
      <c r="E1415" s="1" t="s">
        <v>1270</v>
      </c>
      <c r="F1415" s="1" t="s">
        <v>49</v>
      </c>
      <c r="G1415" s="1" t="str">
        <f>"00718330152"</f>
        <v>00718330152</v>
      </c>
      <c r="I1415" s="1" t="s">
        <v>3048</v>
      </c>
      <c r="L1415" s="1" t="s">
        <v>44</v>
      </c>
      <c r="M1415" s="1" t="s">
        <v>1255</v>
      </c>
      <c r="AG1415" s="1" t="s">
        <v>3049</v>
      </c>
      <c r="AH1415" s="2">
        <v>44971</v>
      </c>
      <c r="AI1415" s="2">
        <v>45291</v>
      </c>
      <c r="AJ1415" s="2">
        <v>44971</v>
      </c>
    </row>
    <row r="1416" spans="1:36">
      <c r="A1416" s="1" t="str">
        <f>"ZB139B0989"</f>
        <v>ZB139B0989</v>
      </c>
      <c r="B1416" s="1" t="str">
        <f t="shared" si="36"/>
        <v>02406911202</v>
      </c>
      <c r="C1416" s="1" t="s">
        <v>13</v>
      </c>
      <c r="D1416" s="1" t="s">
        <v>1257</v>
      </c>
      <c r="E1416" s="1" t="s">
        <v>3050</v>
      </c>
      <c r="F1416" s="1" t="s">
        <v>49</v>
      </c>
      <c r="G1416" s="1" t="str">
        <f>"02723670960"</f>
        <v>02723670960</v>
      </c>
      <c r="I1416" s="1" t="s">
        <v>3051</v>
      </c>
      <c r="L1416" s="1" t="s">
        <v>44</v>
      </c>
      <c r="M1416" s="1" t="s">
        <v>3052</v>
      </c>
      <c r="AG1416" s="1" t="s">
        <v>3052</v>
      </c>
      <c r="AH1416" s="2">
        <v>44927</v>
      </c>
      <c r="AI1416" s="2">
        <v>45016</v>
      </c>
      <c r="AJ1416" s="2">
        <v>44927</v>
      </c>
    </row>
    <row r="1417" spans="1:36">
      <c r="A1417" s="1" t="str">
        <f>"Z4D39EDA95"</f>
        <v>Z4D39EDA95</v>
      </c>
      <c r="B1417" s="1" t="str">
        <f t="shared" si="36"/>
        <v>02406911202</v>
      </c>
      <c r="C1417" s="1" t="s">
        <v>13</v>
      </c>
      <c r="D1417" s="1" t="s">
        <v>37</v>
      </c>
      <c r="E1417" s="1" t="s">
        <v>3053</v>
      </c>
      <c r="F1417" s="1" t="s">
        <v>117</v>
      </c>
      <c r="G1417" s="1" t="str">
        <f>"00887261006"</f>
        <v>00887261006</v>
      </c>
      <c r="I1417" s="1" t="s">
        <v>2041</v>
      </c>
      <c r="L1417" s="1" t="s">
        <v>44</v>
      </c>
      <c r="M1417" s="1" t="s">
        <v>3054</v>
      </c>
      <c r="AG1417" s="1" t="s">
        <v>124</v>
      </c>
      <c r="AH1417" s="2">
        <v>44972</v>
      </c>
      <c r="AI1417" s="2">
        <v>45260</v>
      </c>
      <c r="AJ1417" s="2">
        <v>44972</v>
      </c>
    </row>
    <row r="1418" spans="1:36">
      <c r="A1418" s="1" t="str">
        <f>"9654449F56"</f>
        <v>9654449F56</v>
      </c>
      <c r="B1418" s="1" t="str">
        <f t="shared" si="36"/>
        <v>02406911202</v>
      </c>
      <c r="C1418" s="1" t="s">
        <v>13</v>
      </c>
      <c r="D1418" s="1" t="s">
        <v>37</v>
      </c>
      <c r="E1418" s="1" t="s">
        <v>3055</v>
      </c>
      <c r="F1418" s="1" t="s">
        <v>117</v>
      </c>
      <c r="G1418" s="1" t="str">
        <f>"00887261006"</f>
        <v>00887261006</v>
      </c>
      <c r="I1418" s="1" t="s">
        <v>2041</v>
      </c>
      <c r="L1418" s="1" t="s">
        <v>44</v>
      </c>
      <c r="M1418" s="1" t="s">
        <v>3056</v>
      </c>
      <c r="AG1418" s="1" t="s">
        <v>3057</v>
      </c>
      <c r="AH1418" s="2">
        <v>44972</v>
      </c>
      <c r="AI1418" s="2">
        <v>45260</v>
      </c>
      <c r="AJ1418" s="2">
        <v>44972</v>
      </c>
    </row>
    <row r="1419" spans="1:36">
      <c r="A1419" s="1" t="str">
        <f>"ZD139EDADD"</f>
        <v>ZD139EDADD</v>
      </c>
      <c r="B1419" s="1" t="str">
        <f t="shared" si="36"/>
        <v>02406911202</v>
      </c>
      <c r="C1419" s="1" t="s">
        <v>13</v>
      </c>
      <c r="D1419" s="1" t="s">
        <v>37</v>
      </c>
      <c r="E1419" s="1" t="s">
        <v>3058</v>
      </c>
      <c r="F1419" s="1" t="s">
        <v>117</v>
      </c>
      <c r="G1419" s="1" t="str">
        <f>"00887261006"</f>
        <v>00887261006</v>
      </c>
      <c r="I1419" s="1" t="s">
        <v>2041</v>
      </c>
      <c r="L1419" s="1" t="s">
        <v>44</v>
      </c>
      <c r="M1419" s="1" t="s">
        <v>3059</v>
      </c>
      <c r="AG1419" s="1" t="s">
        <v>124</v>
      </c>
      <c r="AH1419" s="2">
        <v>44972</v>
      </c>
      <c r="AI1419" s="2">
        <v>45260</v>
      </c>
      <c r="AJ1419" s="2">
        <v>44972</v>
      </c>
    </row>
    <row r="1420" spans="1:36">
      <c r="A1420" s="1" t="str">
        <f>"Z9739B0B5A"</f>
        <v>Z9739B0B5A</v>
      </c>
      <c r="B1420" s="1" t="str">
        <f t="shared" si="36"/>
        <v>02406911202</v>
      </c>
      <c r="C1420" s="1" t="s">
        <v>13</v>
      </c>
      <c r="D1420" s="1" t="s">
        <v>1257</v>
      </c>
      <c r="E1420" s="1" t="s">
        <v>3060</v>
      </c>
      <c r="F1420" s="1" t="s">
        <v>49</v>
      </c>
      <c r="G1420" s="1" t="str">
        <f>"05653560960"</f>
        <v>05653560960</v>
      </c>
      <c r="I1420" s="1" t="s">
        <v>3061</v>
      </c>
      <c r="L1420" s="1" t="s">
        <v>44</v>
      </c>
      <c r="M1420" s="1" t="s">
        <v>917</v>
      </c>
      <c r="AG1420" s="1" t="s">
        <v>3062</v>
      </c>
      <c r="AH1420" s="2">
        <v>44927</v>
      </c>
      <c r="AI1420" s="2">
        <v>45291</v>
      </c>
      <c r="AJ1420" s="2">
        <v>44927</v>
      </c>
    </row>
    <row r="1421" spans="1:36">
      <c r="A1421" s="1" t="str">
        <f>"ZCA39F1D9C"</f>
        <v>ZCA39F1D9C</v>
      </c>
      <c r="B1421" s="1" t="str">
        <f t="shared" si="36"/>
        <v>02406911202</v>
      </c>
      <c r="C1421" s="1" t="s">
        <v>13</v>
      </c>
      <c r="D1421" s="1" t="s">
        <v>1253</v>
      </c>
      <c r="E1421" s="1" t="s">
        <v>1254</v>
      </c>
      <c r="F1421" s="1" t="s">
        <v>49</v>
      </c>
      <c r="G1421" s="1" t="str">
        <f>"04311310017"</f>
        <v>04311310017</v>
      </c>
      <c r="I1421" s="1" t="s">
        <v>3063</v>
      </c>
      <c r="L1421" s="1" t="s">
        <v>44</v>
      </c>
      <c r="M1421" s="1" t="s">
        <v>1255</v>
      </c>
      <c r="AG1421" s="1" t="s">
        <v>3064</v>
      </c>
      <c r="AH1421" s="2">
        <v>44971</v>
      </c>
      <c r="AI1421" s="2">
        <v>45291</v>
      </c>
      <c r="AJ1421" s="2">
        <v>44971</v>
      </c>
    </row>
    <row r="1422" spans="1:36">
      <c r="A1422" s="1" t="str">
        <f>"ZA439B0AEF"</f>
        <v>ZA439B0AEF</v>
      </c>
      <c r="B1422" s="1" t="str">
        <f t="shared" si="36"/>
        <v>02406911202</v>
      </c>
      <c r="C1422" s="1" t="s">
        <v>13</v>
      </c>
      <c r="D1422" s="1" t="s">
        <v>1257</v>
      </c>
      <c r="E1422" s="1" t="s">
        <v>3065</v>
      </c>
      <c r="F1422" s="1" t="s">
        <v>49</v>
      </c>
      <c r="G1422" s="1" t="str">
        <f>"06734220962"</f>
        <v>06734220962</v>
      </c>
      <c r="I1422" s="1" t="s">
        <v>2320</v>
      </c>
      <c r="L1422" s="1" t="s">
        <v>44</v>
      </c>
      <c r="M1422" s="1" t="s">
        <v>562</v>
      </c>
      <c r="AG1422" s="1" t="s">
        <v>3066</v>
      </c>
      <c r="AH1422" s="2">
        <v>44927</v>
      </c>
      <c r="AI1422" s="2">
        <v>45046</v>
      </c>
      <c r="AJ1422" s="2">
        <v>44927</v>
      </c>
    </row>
    <row r="1423" spans="1:36">
      <c r="A1423" s="1" t="str">
        <f>"ZCB39B0AA9"</f>
        <v>ZCB39B0AA9</v>
      </c>
      <c r="B1423" s="1" t="str">
        <f t="shared" si="36"/>
        <v>02406911202</v>
      </c>
      <c r="C1423" s="1" t="s">
        <v>13</v>
      </c>
      <c r="D1423" s="1" t="s">
        <v>1257</v>
      </c>
      <c r="E1423" s="1" t="s">
        <v>3067</v>
      </c>
      <c r="F1423" s="1" t="s">
        <v>49</v>
      </c>
      <c r="G1423" s="1" t="str">
        <f>"11025740157"</f>
        <v>11025740157</v>
      </c>
      <c r="I1423" s="1" t="s">
        <v>1615</v>
      </c>
      <c r="L1423" s="1" t="s">
        <v>44</v>
      </c>
      <c r="M1423" s="1" t="s">
        <v>2400</v>
      </c>
      <c r="AG1423" s="1" t="s">
        <v>3068</v>
      </c>
      <c r="AH1423" s="2">
        <v>44927</v>
      </c>
      <c r="AI1423" s="2">
        <v>45291</v>
      </c>
      <c r="AJ1423" s="2">
        <v>44927</v>
      </c>
    </row>
    <row r="1424" spans="1:36">
      <c r="A1424" s="1" t="str">
        <f>"Z8F39B0A2D"</f>
        <v>Z8F39B0A2D</v>
      </c>
      <c r="B1424" s="1" t="str">
        <f t="shared" si="36"/>
        <v>02406911202</v>
      </c>
      <c r="C1424" s="1" t="s">
        <v>13</v>
      </c>
      <c r="D1424" s="1" t="s">
        <v>1257</v>
      </c>
      <c r="E1424" s="1" t="s">
        <v>3069</v>
      </c>
      <c r="F1424" s="1" t="s">
        <v>49</v>
      </c>
      <c r="G1424" s="1" t="str">
        <f>"09058160152"</f>
        <v>09058160152</v>
      </c>
      <c r="I1424" s="1" t="s">
        <v>1357</v>
      </c>
      <c r="L1424" s="1" t="s">
        <v>44</v>
      </c>
      <c r="M1424" s="1" t="s">
        <v>1397</v>
      </c>
      <c r="AG1424" s="1" t="s">
        <v>3070</v>
      </c>
      <c r="AH1424" s="2">
        <v>44927</v>
      </c>
      <c r="AI1424" s="2">
        <v>45016</v>
      </c>
      <c r="AJ1424" s="2">
        <v>44927</v>
      </c>
    </row>
    <row r="1425" spans="1:36">
      <c r="A1425" s="1" t="str">
        <f>"Z2A39E83B1"</f>
        <v>Z2A39E83B1</v>
      </c>
      <c r="B1425" s="1" t="str">
        <f t="shared" si="36"/>
        <v>02406911202</v>
      </c>
      <c r="C1425" s="1" t="s">
        <v>13</v>
      </c>
      <c r="D1425" s="1" t="s">
        <v>1253</v>
      </c>
      <c r="E1425" s="1" t="s">
        <v>1387</v>
      </c>
      <c r="F1425" s="1" t="s">
        <v>49</v>
      </c>
      <c r="G1425" s="1" t="str">
        <f>"03524050238"</f>
        <v>03524050238</v>
      </c>
      <c r="I1425" s="1" t="s">
        <v>593</v>
      </c>
      <c r="L1425" s="1" t="s">
        <v>44</v>
      </c>
      <c r="M1425" s="1" t="s">
        <v>1255</v>
      </c>
      <c r="AG1425" s="1" t="s">
        <v>3071</v>
      </c>
      <c r="AH1425" s="2">
        <v>44967</v>
      </c>
      <c r="AI1425" s="2">
        <v>45291</v>
      </c>
      <c r="AJ1425" s="2">
        <v>44967</v>
      </c>
    </row>
    <row r="1426" spans="1:36">
      <c r="A1426" s="1" t="str">
        <f>"ZB539F289E"</f>
        <v>ZB539F289E</v>
      </c>
      <c r="B1426" s="1" t="str">
        <f t="shared" si="36"/>
        <v>02406911202</v>
      </c>
      <c r="C1426" s="1" t="s">
        <v>13</v>
      </c>
      <c r="D1426" s="1" t="s">
        <v>1253</v>
      </c>
      <c r="E1426" s="1" t="s">
        <v>1262</v>
      </c>
      <c r="F1426" s="1" t="s">
        <v>49</v>
      </c>
      <c r="G1426" s="1" t="str">
        <f>"07649050965"</f>
        <v>07649050965</v>
      </c>
      <c r="I1426" s="1" t="s">
        <v>3072</v>
      </c>
      <c r="L1426" s="1" t="s">
        <v>44</v>
      </c>
      <c r="M1426" s="1" t="s">
        <v>1255</v>
      </c>
      <c r="AG1426" s="1" t="s">
        <v>3073</v>
      </c>
      <c r="AH1426" s="2">
        <v>44971</v>
      </c>
      <c r="AI1426" s="2">
        <v>45291</v>
      </c>
      <c r="AJ1426" s="2">
        <v>44971</v>
      </c>
    </row>
    <row r="1427" spans="1:36">
      <c r="A1427" s="1" t="str">
        <f>"ZB83A3D78F"</f>
        <v>ZB83A3D78F</v>
      </c>
      <c r="B1427" s="1" t="str">
        <f t="shared" si="36"/>
        <v>02406911202</v>
      </c>
      <c r="C1427" s="1" t="s">
        <v>13</v>
      </c>
      <c r="D1427" s="1" t="s">
        <v>1741</v>
      </c>
      <c r="E1427" s="1" t="s">
        <v>3074</v>
      </c>
      <c r="F1427" s="1" t="s">
        <v>49</v>
      </c>
      <c r="G1427" s="1" t="str">
        <f>"04065160964"</f>
        <v>04065160964</v>
      </c>
      <c r="I1427" s="1" t="s">
        <v>3075</v>
      </c>
      <c r="L1427" s="1" t="s">
        <v>44</v>
      </c>
      <c r="M1427" s="1" t="s">
        <v>3076</v>
      </c>
      <c r="AG1427" s="1" t="s">
        <v>3077</v>
      </c>
      <c r="AH1427" s="2">
        <v>44927</v>
      </c>
      <c r="AI1427" s="2">
        <v>45291</v>
      </c>
      <c r="AJ1427" s="2">
        <v>44927</v>
      </c>
    </row>
    <row r="1428" spans="1:36">
      <c r="A1428" s="1" t="str">
        <f>"Z253A75A3F"</f>
        <v>Z253A75A3F</v>
      </c>
      <c r="B1428" s="1" t="str">
        <f t="shared" si="36"/>
        <v>02406911202</v>
      </c>
      <c r="C1428" s="1" t="s">
        <v>13</v>
      </c>
      <c r="D1428" s="1" t="s">
        <v>1257</v>
      </c>
      <c r="E1428" s="1" t="s">
        <v>3078</v>
      </c>
      <c r="F1428" s="1" t="s">
        <v>49</v>
      </c>
      <c r="G1428" s="1" t="str">
        <f>"05678330829"</f>
        <v>05678330829</v>
      </c>
      <c r="I1428" s="1" t="s">
        <v>3079</v>
      </c>
      <c r="L1428" s="1" t="s">
        <v>44</v>
      </c>
      <c r="M1428" s="1" t="s">
        <v>153</v>
      </c>
      <c r="AG1428" s="1" t="s">
        <v>3080</v>
      </c>
      <c r="AH1428" s="2">
        <v>45006</v>
      </c>
      <c r="AI1428" s="2">
        <v>45291</v>
      </c>
      <c r="AJ1428" s="2">
        <v>45006</v>
      </c>
    </row>
    <row r="1429" spans="1:36">
      <c r="A1429" s="1" t="str">
        <f>"9708927C02"</f>
        <v>9708927C02</v>
      </c>
      <c r="B1429" s="1" t="str">
        <f t="shared" si="36"/>
        <v>02406911202</v>
      </c>
      <c r="C1429" s="1" t="s">
        <v>13</v>
      </c>
      <c r="D1429" s="1" t="s">
        <v>37</v>
      </c>
      <c r="E1429" s="1" t="s">
        <v>3081</v>
      </c>
      <c r="F1429" s="1" t="s">
        <v>39</v>
      </c>
      <c r="G1429" s="1" t="str">
        <f>"15685941005"</f>
        <v>15685941005</v>
      </c>
      <c r="I1429" s="1" t="s">
        <v>2871</v>
      </c>
      <c r="L1429" s="1" t="s">
        <v>44</v>
      </c>
      <c r="M1429" s="1" t="s">
        <v>1795</v>
      </c>
      <c r="AG1429" s="1" t="s">
        <v>3082</v>
      </c>
      <c r="AH1429" s="2">
        <v>45001</v>
      </c>
      <c r="AI1429" s="2">
        <v>45184</v>
      </c>
      <c r="AJ1429" s="2">
        <v>45001</v>
      </c>
    </row>
    <row r="1430" spans="1:36">
      <c r="A1430" s="1" t="str">
        <f>"Z613A86666"</f>
        <v>Z613A86666</v>
      </c>
      <c r="B1430" s="1" t="str">
        <f t="shared" si="36"/>
        <v>02406911202</v>
      </c>
      <c r="C1430" s="1" t="s">
        <v>13</v>
      </c>
      <c r="D1430" s="1" t="s">
        <v>1253</v>
      </c>
      <c r="E1430" s="1" t="s">
        <v>3083</v>
      </c>
      <c r="F1430" s="1" t="s">
        <v>49</v>
      </c>
      <c r="G1430" s="1" t="str">
        <f>"01258691003"</f>
        <v>01258691003</v>
      </c>
      <c r="I1430" s="1" t="s">
        <v>2027</v>
      </c>
      <c r="L1430" s="1" t="s">
        <v>44</v>
      </c>
      <c r="M1430" s="1" t="s">
        <v>1255</v>
      </c>
      <c r="AG1430" s="1" t="s">
        <v>3084</v>
      </c>
      <c r="AH1430" s="2">
        <v>45009</v>
      </c>
      <c r="AI1430" s="2">
        <v>45291</v>
      </c>
      <c r="AJ1430" s="2">
        <v>45009</v>
      </c>
    </row>
    <row r="1431" spans="1:36">
      <c r="A1431" s="1" t="str">
        <f>"Z173A23D78"</f>
        <v>Z173A23D78</v>
      </c>
      <c r="B1431" s="1" t="str">
        <f t="shared" si="36"/>
        <v>02406911202</v>
      </c>
      <c r="C1431" s="1" t="s">
        <v>13</v>
      </c>
      <c r="D1431" s="1" t="s">
        <v>1312</v>
      </c>
      <c r="E1431" s="1" t="s">
        <v>3085</v>
      </c>
      <c r="F1431" s="1" t="s">
        <v>49</v>
      </c>
      <c r="G1431" s="1" t="str">
        <f>"00549731206"</f>
        <v>00549731206</v>
      </c>
      <c r="I1431" s="1" t="s">
        <v>1391</v>
      </c>
      <c r="L1431" s="1" t="s">
        <v>44</v>
      </c>
      <c r="M1431" s="1" t="s">
        <v>1314</v>
      </c>
      <c r="AG1431" s="1" t="s">
        <v>944</v>
      </c>
      <c r="AH1431" s="2">
        <v>44986</v>
      </c>
      <c r="AI1431" s="2">
        <v>46022</v>
      </c>
      <c r="AJ1431" s="2">
        <v>44986</v>
      </c>
    </row>
    <row r="1432" spans="1:36">
      <c r="A1432" s="1" t="str">
        <f>"ZDD3A25B4E"</f>
        <v>ZDD3A25B4E</v>
      </c>
      <c r="B1432" s="1" t="str">
        <f t="shared" si="36"/>
        <v>02406911202</v>
      </c>
      <c r="C1432" s="1" t="s">
        <v>13</v>
      </c>
      <c r="D1432" s="1" t="s">
        <v>1257</v>
      </c>
      <c r="E1432" s="1" t="s">
        <v>3086</v>
      </c>
      <c r="F1432" s="1" t="s">
        <v>49</v>
      </c>
      <c r="G1432" s="1" t="str">
        <f>"00435080304"</f>
        <v>00435080304</v>
      </c>
      <c r="I1432" s="1" t="s">
        <v>2213</v>
      </c>
      <c r="L1432" s="1" t="s">
        <v>44</v>
      </c>
      <c r="M1432" s="1" t="s">
        <v>1397</v>
      </c>
      <c r="AG1432" s="1" t="s">
        <v>3087</v>
      </c>
      <c r="AH1432" s="2">
        <v>44985</v>
      </c>
      <c r="AI1432" s="2">
        <v>45044</v>
      </c>
      <c r="AJ1432" s="2">
        <v>44985</v>
      </c>
    </row>
    <row r="1433" spans="1:36">
      <c r="A1433" s="1" t="str">
        <f>"Z873A29777"</f>
        <v>Z873A29777</v>
      </c>
      <c r="B1433" s="1" t="str">
        <f t="shared" si="36"/>
        <v>02406911202</v>
      </c>
      <c r="C1433" s="1" t="s">
        <v>13</v>
      </c>
      <c r="D1433" s="1" t="s">
        <v>1253</v>
      </c>
      <c r="E1433" s="1" t="s">
        <v>3088</v>
      </c>
      <c r="F1433" s="1" t="s">
        <v>49</v>
      </c>
      <c r="G1433" s="1" t="str">
        <f>"04289840268"</f>
        <v>04289840268</v>
      </c>
      <c r="I1433" s="1" t="s">
        <v>1296</v>
      </c>
      <c r="L1433" s="1" t="s">
        <v>44</v>
      </c>
      <c r="M1433" s="1" t="s">
        <v>1255</v>
      </c>
      <c r="AG1433" s="1" t="s">
        <v>3089</v>
      </c>
      <c r="AH1433" s="2">
        <v>45008</v>
      </c>
      <c r="AI1433" s="2">
        <v>45291</v>
      </c>
      <c r="AJ1433" s="2">
        <v>45008</v>
      </c>
    </row>
    <row r="1434" spans="1:36">
      <c r="A1434" s="1" t="str">
        <f>"ZF238FBEFC"</f>
        <v>ZF238FBEFC</v>
      </c>
      <c r="B1434" s="1" t="str">
        <f t="shared" si="36"/>
        <v>02406911202</v>
      </c>
      <c r="C1434" s="1" t="s">
        <v>13</v>
      </c>
      <c r="D1434" s="1" t="s">
        <v>1741</v>
      </c>
      <c r="E1434" s="1" t="s">
        <v>3090</v>
      </c>
      <c r="F1434" s="1" t="s">
        <v>39</v>
      </c>
      <c r="G1434" s="1" t="str">
        <f>"03344550409"</f>
        <v>03344550409</v>
      </c>
      <c r="I1434" s="1" t="s">
        <v>3091</v>
      </c>
      <c r="L1434" s="1" t="s">
        <v>44</v>
      </c>
      <c r="M1434" s="1" t="s">
        <v>3092</v>
      </c>
      <c r="AG1434" s="1" t="s">
        <v>3093</v>
      </c>
      <c r="AH1434" s="2">
        <v>44927</v>
      </c>
      <c r="AI1434" s="2">
        <v>45657</v>
      </c>
      <c r="AJ1434" s="2">
        <v>44927</v>
      </c>
    </row>
    <row r="1435" spans="1:36">
      <c r="A1435" s="1" t="str">
        <f>"ZC53A2B100"</f>
        <v>ZC53A2B100</v>
      </c>
      <c r="B1435" s="1" t="str">
        <f t="shared" si="36"/>
        <v>02406911202</v>
      </c>
      <c r="C1435" s="1" t="s">
        <v>13</v>
      </c>
      <c r="D1435" s="1" t="s">
        <v>1312</v>
      </c>
      <c r="E1435" s="1" t="s">
        <v>3094</v>
      </c>
      <c r="F1435" s="1" t="s">
        <v>49</v>
      </c>
      <c r="G1435" s="1" t="str">
        <f>"05096510267"</f>
        <v>05096510267</v>
      </c>
      <c r="I1435" s="1" t="s">
        <v>3095</v>
      </c>
      <c r="L1435" s="1" t="s">
        <v>44</v>
      </c>
      <c r="M1435" s="1" t="s">
        <v>1735</v>
      </c>
      <c r="AG1435" s="1" t="s">
        <v>3096</v>
      </c>
      <c r="AH1435" s="2">
        <v>44986</v>
      </c>
      <c r="AI1435" s="2">
        <v>45291</v>
      </c>
      <c r="AJ1435" s="2">
        <v>44986</v>
      </c>
    </row>
    <row r="1436" spans="1:36">
      <c r="A1436" s="1" t="str">
        <f>"ZB53958BA4"</f>
        <v>ZB53958BA4</v>
      </c>
      <c r="B1436" s="1" t="str">
        <f t="shared" si="36"/>
        <v>02406911202</v>
      </c>
      <c r="C1436" s="1" t="s">
        <v>13</v>
      </c>
      <c r="D1436" s="1" t="s">
        <v>1741</v>
      </c>
      <c r="E1436" s="1" t="s">
        <v>3097</v>
      </c>
      <c r="F1436" s="1" t="s">
        <v>39</v>
      </c>
      <c r="G1436" s="1" t="str">
        <f>"02773551201"</f>
        <v>02773551201</v>
      </c>
      <c r="I1436" s="1" t="s">
        <v>3098</v>
      </c>
      <c r="L1436" s="1" t="s">
        <v>44</v>
      </c>
      <c r="M1436" s="1" t="s">
        <v>3099</v>
      </c>
      <c r="AG1436" s="1" t="s">
        <v>3100</v>
      </c>
      <c r="AH1436" s="2">
        <v>44927</v>
      </c>
      <c r="AI1436" s="2">
        <v>45291</v>
      </c>
      <c r="AJ1436" s="2">
        <v>44927</v>
      </c>
    </row>
    <row r="1437" spans="1:36">
      <c r="A1437" s="1" t="str">
        <f>"Z4D3A2D15E"</f>
        <v>Z4D3A2D15E</v>
      </c>
      <c r="B1437" s="1" t="str">
        <f t="shared" si="36"/>
        <v>02406911202</v>
      </c>
      <c r="C1437" s="1" t="s">
        <v>13</v>
      </c>
      <c r="D1437" s="1" t="s">
        <v>205</v>
      </c>
      <c r="E1437" s="1" t="s">
        <v>3101</v>
      </c>
      <c r="F1437" s="1" t="s">
        <v>117</v>
      </c>
      <c r="G1437" s="1" t="str">
        <f>"04023940366"</f>
        <v>04023940366</v>
      </c>
      <c r="I1437" s="1" t="s">
        <v>3102</v>
      </c>
      <c r="L1437" s="1" t="s">
        <v>44</v>
      </c>
      <c r="M1437" s="1" t="s">
        <v>3103</v>
      </c>
      <c r="AG1437" s="1" t="s">
        <v>3104</v>
      </c>
      <c r="AH1437" s="2">
        <v>44927</v>
      </c>
      <c r="AI1437" s="2">
        <v>45291</v>
      </c>
      <c r="AJ1437" s="2">
        <v>44927</v>
      </c>
    </row>
    <row r="1438" spans="1:36">
      <c r="A1438" s="1" t="str">
        <f>"Z153A2D2F1"</f>
        <v>Z153A2D2F1</v>
      </c>
      <c r="B1438" s="1" t="str">
        <f t="shared" si="36"/>
        <v>02406911202</v>
      </c>
      <c r="C1438" s="1" t="s">
        <v>13</v>
      </c>
      <c r="D1438" s="1" t="s">
        <v>205</v>
      </c>
      <c r="E1438" s="1" t="s">
        <v>3105</v>
      </c>
      <c r="F1438" s="1" t="s">
        <v>117</v>
      </c>
      <c r="G1438" s="1" t="str">
        <f>"03400751206"</f>
        <v>03400751206</v>
      </c>
      <c r="I1438" s="1" t="s">
        <v>3106</v>
      </c>
      <c r="L1438" s="1" t="s">
        <v>44</v>
      </c>
      <c r="M1438" s="1" t="s">
        <v>3107</v>
      </c>
      <c r="AG1438" s="1" t="s">
        <v>3108</v>
      </c>
      <c r="AH1438" s="2">
        <v>44927</v>
      </c>
      <c r="AI1438" s="2">
        <v>45291</v>
      </c>
      <c r="AJ1438" s="2">
        <v>44927</v>
      </c>
    </row>
    <row r="1439" spans="1:36">
      <c r="A1439" s="1" t="str">
        <f>"Z143A2D3A7"</f>
        <v>Z143A2D3A7</v>
      </c>
      <c r="B1439" s="1" t="str">
        <f t="shared" si="36"/>
        <v>02406911202</v>
      </c>
      <c r="C1439" s="1" t="s">
        <v>13</v>
      </c>
      <c r="D1439" s="1" t="s">
        <v>205</v>
      </c>
      <c r="E1439" s="1" t="s">
        <v>3109</v>
      </c>
      <c r="F1439" s="1" t="s">
        <v>117</v>
      </c>
      <c r="G1439" s="1" t="str">
        <f>"03843090378"</f>
        <v>03843090378</v>
      </c>
      <c r="I1439" s="1" t="s">
        <v>3110</v>
      </c>
      <c r="L1439" s="1" t="s">
        <v>44</v>
      </c>
      <c r="M1439" s="1" t="s">
        <v>2597</v>
      </c>
      <c r="AG1439" s="1" t="s">
        <v>3111</v>
      </c>
      <c r="AH1439" s="2">
        <v>44927</v>
      </c>
      <c r="AI1439" s="2">
        <v>45291</v>
      </c>
      <c r="AJ1439" s="2">
        <v>44927</v>
      </c>
    </row>
    <row r="1440" spans="1:36">
      <c r="A1440" s="1" t="str">
        <f>"Z8C3A2D49F"</f>
        <v>Z8C3A2D49F</v>
      </c>
      <c r="B1440" s="1" t="str">
        <f t="shared" si="36"/>
        <v>02406911202</v>
      </c>
      <c r="C1440" s="1" t="s">
        <v>13</v>
      </c>
      <c r="D1440" s="1" t="s">
        <v>205</v>
      </c>
      <c r="E1440" s="1" t="s">
        <v>3112</v>
      </c>
      <c r="F1440" s="1" t="s">
        <v>117</v>
      </c>
      <c r="G1440" s="1" t="str">
        <f>"01534890346"</f>
        <v>01534890346</v>
      </c>
      <c r="I1440" s="1" t="s">
        <v>2700</v>
      </c>
      <c r="L1440" s="1" t="s">
        <v>44</v>
      </c>
      <c r="M1440" s="1" t="s">
        <v>3113</v>
      </c>
      <c r="AG1440" s="1" t="s">
        <v>3114</v>
      </c>
      <c r="AH1440" s="2">
        <v>44927</v>
      </c>
      <c r="AI1440" s="2">
        <v>45291</v>
      </c>
      <c r="AJ1440" s="2">
        <v>44927</v>
      </c>
    </row>
    <row r="1441" spans="1:36">
      <c r="A1441" s="1" t="str">
        <f>"Z413A2D4FF"</f>
        <v>Z413A2D4FF</v>
      </c>
      <c r="B1441" s="1" t="str">
        <f t="shared" si="36"/>
        <v>02406911202</v>
      </c>
      <c r="C1441" s="1" t="s">
        <v>13</v>
      </c>
      <c r="D1441" s="1" t="s">
        <v>205</v>
      </c>
      <c r="E1441" s="1" t="s">
        <v>3115</v>
      </c>
      <c r="F1441" s="1" t="s">
        <v>117</v>
      </c>
      <c r="G1441" s="1" t="str">
        <f>"01534890346"</f>
        <v>01534890346</v>
      </c>
      <c r="I1441" s="1" t="s">
        <v>2700</v>
      </c>
      <c r="L1441" s="1" t="s">
        <v>44</v>
      </c>
      <c r="M1441" s="1" t="s">
        <v>3113</v>
      </c>
      <c r="AG1441" s="1" t="s">
        <v>3116</v>
      </c>
      <c r="AH1441" s="2">
        <v>44927</v>
      </c>
      <c r="AI1441" s="2">
        <v>45291</v>
      </c>
      <c r="AJ1441" s="2">
        <v>44927</v>
      </c>
    </row>
    <row r="1442" spans="1:36">
      <c r="A1442" s="1" t="str">
        <f>"Z1D3A3032E"</f>
        <v>Z1D3A3032E</v>
      </c>
      <c r="B1442" s="1" t="str">
        <f t="shared" si="36"/>
        <v>02406911202</v>
      </c>
      <c r="C1442" s="1" t="s">
        <v>13</v>
      </c>
      <c r="D1442" s="1" t="s">
        <v>1253</v>
      </c>
      <c r="E1442" s="1" t="s">
        <v>1270</v>
      </c>
      <c r="F1442" s="1" t="s">
        <v>49</v>
      </c>
      <c r="G1442" s="1" t="str">
        <f>"12864800151"</f>
        <v>12864800151</v>
      </c>
      <c r="I1442" s="1" t="s">
        <v>1393</v>
      </c>
      <c r="L1442" s="1" t="s">
        <v>44</v>
      </c>
      <c r="M1442" s="1" t="s">
        <v>1255</v>
      </c>
      <c r="AG1442" s="1" t="s">
        <v>3117</v>
      </c>
      <c r="AH1442" s="2">
        <v>44987</v>
      </c>
      <c r="AI1442" s="2">
        <v>45291</v>
      </c>
      <c r="AJ1442" s="2">
        <v>44987</v>
      </c>
    </row>
    <row r="1443" spans="1:36">
      <c r="A1443" s="1" t="str">
        <f>"Z46398A165"</f>
        <v>Z46398A165</v>
      </c>
      <c r="B1443" s="1" t="str">
        <f t="shared" si="36"/>
        <v>02406911202</v>
      </c>
      <c r="C1443" s="1" t="s">
        <v>13</v>
      </c>
      <c r="D1443" s="1" t="s">
        <v>1312</v>
      </c>
      <c r="E1443" s="1" t="s">
        <v>3118</v>
      </c>
      <c r="F1443" s="1" t="s">
        <v>49</v>
      </c>
      <c r="G1443" s="1" t="str">
        <f>"09933630155"</f>
        <v>09933630155</v>
      </c>
      <c r="I1443" s="1" t="s">
        <v>2412</v>
      </c>
      <c r="L1443" s="1" t="s">
        <v>44</v>
      </c>
      <c r="M1443" s="1" t="s">
        <v>1735</v>
      </c>
      <c r="AG1443" s="1" t="s">
        <v>3119</v>
      </c>
      <c r="AH1443" s="2">
        <v>44943</v>
      </c>
      <c r="AI1443" s="2">
        <v>45291</v>
      </c>
      <c r="AJ1443" s="2">
        <v>44943</v>
      </c>
    </row>
    <row r="1444" spans="1:36">
      <c r="A1444" s="1" t="str">
        <f>"Z9B39AAB5D"</f>
        <v>Z9B39AAB5D</v>
      </c>
      <c r="B1444" s="1" t="str">
        <f t="shared" si="36"/>
        <v>02406911202</v>
      </c>
      <c r="C1444" s="1" t="s">
        <v>13</v>
      </c>
      <c r="D1444" s="1" t="s">
        <v>1312</v>
      </c>
      <c r="E1444" s="1" t="s">
        <v>1974</v>
      </c>
      <c r="F1444" s="1" t="s">
        <v>49</v>
      </c>
      <c r="G1444" s="1" t="str">
        <f>"00156320376"</f>
        <v>00156320376</v>
      </c>
      <c r="I1444" s="1" t="s">
        <v>3120</v>
      </c>
      <c r="L1444" s="1" t="s">
        <v>44</v>
      </c>
      <c r="M1444" s="1" t="s">
        <v>2391</v>
      </c>
      <c r="AG1444" s="1" t="s">
        <v>124</v>
      </c>
      <c r="AH1444" s="2">
        <v>44927</v>
      </c>
      <c r="AI1444" s="2">
        <v>44957</v>
      </c>
      <c r="AJ1444" s="2">
        <v>44927</v>
      </c>
    </row>
    <row r="1445" spans="1:36">
      <c r="A1445" s="1" t="str">
        <f>"ZE539B34F7"</f>
        <v>ZE539B34F7</v>
      </c>
      <c r="B1445" s="1" t="str">
        <f t="shared" si="36"/>
        <v>02406911202</v>
      </c>
      <c r="C1445" s="1" t="s">
        <v>13</v>
      </c>
      <c r="D1445" s="1" t="s">
        <v>205</v>
      </c>
      <c r="E1445" s="1" t="s">
        <v>3121</v>
      </c>
      <c r="F1445" s="1" t="s">
        <v>49</v>
      </c>
      <c r="G1445" s="1" t="str">
        <f>"11575580151"</f>
        <v>11575580151</v>
      </c>
      <c r="I1445" s="1" t="s">
        <v>290</v>
      </c>
      <c r="L1445" s="1" t="s">
        <v>44</v>
      </c>
      <c r="M1445" s="1" t="s">
        <v>2400</v>
      </c>
      <c r="AG1445" s="1" t="s">
        <v>3122</v>
      </c>
      <c r="AH1445" s="2">
        <v>44927</v>
      </c>
      <c r="AI1445" s="2">
        <v>45291</v>
      </c>
      <c r="AJ1445" s="2">
        <v>44927</v>
      </c>
    </row>
    <row r="1446" spans="1:36">
      <c r="A1446" s="1" t="str">
        <f>"Z0239D5E89"</f>
        <v>Z0239D5E89</v>
      </c>
      <c r="B1446" s="1" t="str">
        <f t="shared" si="36"/>
        <v>02406911202</v>
      </c>
      <c r="C1446" s="1" t="s">
        <v>13</v>
      </c>
      <c r="D1446" s="1" t="s">
        <v>1312</v>
      </c>
      <c r="E1446" s="1" t="s">
        <v>3123</v>
      </c>
      <c r="F1446" s="1" t="s">
        <v>49</v>
      </c>
      <c r="G1446" s="1" t="str">
        <f>"02501461202"</f>
        <v>02501461202</v>
      </c>
      <c r="I1446" s="1" t="s">
        <v>2278</v>
      </c>
      <c r="L1446" s="1" t="s">
        <v>44</v>
      </c>
      <c r="M1446" s="1" t="s">
        <v>1314</v>
      </c>
      <c r="AG1446" s="1" t="s">
        <v>3124</v>
      </c>
      <c r="AH1446" s="2">
        <v>44964</v>
      </c>
      <c r="AI1446" s="2">
        <v>46022</v>
      </c>
      <c r="AJ1446" s="2">
        <v>44964</v>
      </c>
    </row>
    <row r="1447" spans="1:36">
      <c r="A1447" s="1" t="str">
        <f>"96397995C9"</f>
        <v>96397995C9</v>
      </c>
      <c r="B1447" s="1" t="str">
        <f t="shared" si="36"/>
        <v>02406911202</v>
      </c>
      <c r="C1447" s="1" t="s">
        <v>13</v>
      </c>
      <c r="D1447" s="1" t="s">
        <v>37</v>
      </c>
      <c r="E1447" s="1" t="s">
        <v>1672</v>
      </c>
      <c r="F1447" s="1" t="s">
        <v>117</v>
      </c>
      <c r="G1447" s="1" t="str">
        <f>"00076670595"</f>
        <v>00076670595</v>
      </c>
      <c r="I1447" s="1" t="s">
        <v>133</v>
      </c>
      <c r="L1447" s="1" t="s">
        <v>44</v>
      </c>
      <c r="M1447" s="1" t="s">
        <v>269</v>
      </c>
      <c r="AG1447" s="1" t="s">
        <v>3125</v>
      </c>
      <c r="AH1447" s="2">
        <v>44966</v>
      </c>
      <c r="AI1447" s="2">
        <v>45046</v>
      </c>
      <c r="AJ1447" s="2">
        <v>44966</v>
      </c>
    </row>
    <row r="1448" spans="1:36">
      <c r="A1448" s="1" t="str">
        <f>"96398808A0"</f>
        <v>96398808A0</v>
      </c>
      <c r="B1448" s="1" t="str">
        <f t="shared" si="36"/>
        <v>02406911202</v>
      </c>
      <c r="C1448" s="1" t="s">
        <v>13</v>
      </c>
      <c r="D1448" s="1" t="s">
        <v>37</v>
      </c>
      <c r="E1448" s="1" t="s">
        <v>1672</v>
      </c>
      <c r="F1448" s="1" t="s">
        <v>117</v>
      </c>
      <c r="G1448" s="1" t="str">
        <f>"02790240101"</f>
        <v>02790240101</v>
      </c>
      <c r="I1448" s="1" t="s">
        <v>275</v>
      </c>
      <c r="L1448" s="1" t="s">
        <v>44</v>
      </c>
      <c r="M1448" s="1" t="s">
        <v>108</v>
      </c>
      <c r="AG1448" s="1" t="s">
        <v>124</v>
      </c>
      <c r="AH1448" s="2">
        <v>44966</v>
      </c>
      <c r="AI1448" s="2">
        <v>45046</v>
      </c>
      <c r="AJ1448" s="2">
        <v>44966</v>
      </c>
    </row>
    <row r="1449" spans="1:36">
      <c r="A1449" s="1" t="str">
        <f>"Z9439F51BA"</f>
        <v>Z9439F51BA</v>
      </c>
      <c r="B1449" s="1" t="str">
        <f t="shared" si="36"/>
        <v>02406911202</v>
      </c>
      <c r="C1449" s="1" t="s">
        <v>13</v>
      </c>
      <c r="D1449" s="1" t="s">
        <v>205</v>
      </c>
      <c r="E1449" s="1" t="s">
        <v>3126</v>
      </c>
      <c r="F1449" s="1" t="s">
        <v>49</v>
      </c>
      <c r="G1449" s="1" t="str">
        <f>"02008481208"</f>
        <v>02008481208</v>
      </c>
      <c r="I1449" s="1" t="s">
        <v>3127</v>
      </c>
      <c r="L1449" s="1" t="s">
        <v>44</v>
      </c>
      <c r="M1449" s="1" t="s">
        <v>3128</v>
      </c>
      <c r="AG1449" s="1" t="s">
        <v>3128</v>
      </c>
      <c r="AH1449" s="2">
        <v>44958</v>
      </c>
      <c r="AI1449" s="2">
        <v>45046</v>
      </c>
      <c r="AJ1449" s="2">
        <v>44958</v>
      </c>
    </row>
    <row r="1450" spans="1:36">
      <c r="A1450" s="1" t="str">
        <f>"9618869DCB"</f>
        <v>9618869DCB</v>
      </c>
      <c r="B1450" s="1" t="str">
        <f t="shared" si="36"/>
        <v>02406911202</v>
      </c>
      <c r="C1450" s="1" t="s">
        <v>13</v>
      </c>
      <c r="D1450" s="1" t="s">
        <v>37</v>
      </c>
      <c r="E1450" s="1" t="s">
        <v>1689</v>
      </c>
      <c r="F1450" s="1" t="s">
        <v>117</v>
      </c>
      <c r="G1450" s="1" t="str">
        <f>"04918311210"</f>
        <v>04918311210</v>
      </c>
      <c r="I1450" s="1" t="s">
        <v>3129</v>
      </c>
      <c r="L1450" s="1" t="s">
        <v>44</v>
      </c>
      <c r="M1450" s="1" t="s">
        <v>3130</v>
      </c>
      <c r="AG1450" s="1" t="s">
        <v>3131</v>
      </c>
      <c r="AH1450" s="2">
        <v>44943</v>
      </c>
      <c r="AI1450" s="2">
        <v>46022</v>
      </c>
      <c r="AJ1450" s="2">
        <v>44943</v>
      </c>
    </row>
    <row r="1451" spans="1:36">
      <c r="A1451" s="1" t="str">
        <f>"961895766C"</f>
        <v>961895766C</v>
      </c>
      <c r="B1451" s="1" t="str">
        <f t="shared" si="36"/>
        <v>02406911202</v>
      </c>
      <c r="C1451" s="1" t="s">
        <v>13</v>
      </c>
      <c r="D1451" s="1" t="s">
        <v>37</v>
      </c>
      <c r="E1451" s="1" t="s">
        <v>3132</v>
      </c>
      <c r="F1451" s="1" t="s">
        <v>117</v>
      </c>
      <c r="G1451" s="1" t="str">
        <f>"03432221202"</f>
        <v>03432221202</v>
      </c>
      <c r="I1451" s="1" t="s">
        <v>1574</v>
      </c>
      <c r="L1451" s="1" t="s">
        <v>44</v>
      </c>
      <c r="M1451" s="1" t="s">
        <v>3133</v>
      </c>
      <c r="AG1451" s="1" t="s">
        <v>3134</v>
      </c>
      <c r="AH1451" s="2">
        <v>44943</v>
      </c>
      <c r="AI1451" s="2">
        <v>46022</v>
      </c>
      <c r="AJ1451" s="2">
        <v>44943</v>
      </c>
    </row>
    <row r="1452" spans="1:36">
      <c r="A1452" s="1" t="str">
        <f>"96191261E4"</f>
        <v>96191261E4</v>
      </c>
      <c r="B1452" s="1" t="str">
        <f t="shared" si="36"/>
        <v>02406911202</v>
      </c>
      <c r="C1452" s="1" t="s">
        <v>13</v>
      </c>
      <c r="D1452" s="1" t="s">
        <v>37</v>
      </c>
      <c r="E1452" s="1" t="s">
        <v>3135</v>
      </c>
      <c r="F1452" s="1" t="s">
        <v>117</v>
      </c>
      <c r="G1452" s="1" t="str">
        <f>"06037901003"</f>
        <v>06037901003</v>
      </c>
      <c r="I1452" s="1" t="s">
        <v>3136</v>
      </c>
      <c r="L1452" s="1" t="s">
        <v>44</v>
      </c>
      <c r="M1452" s="1" t="s">
        <v>3137</v>
      </c>
      <c r="AG1452" s="1" t="s">
        <v>3138</v>
      </c>
      <c r="AH1452" s="2">
        <v>44943</v>
      </c>
      <c r="AI1452" s="2">
        <v>46022</v>
      </c>
      <c r="AJ1452" s="2">
        <v>44943</v>
      </c>
    </row>
    <row r="1453" spans="1:36">
      <c r="A1453" s="1" t="str">
        <f>"9646592B8A"</f>
        <v>9646592B8A</v>
      </c>
      <c r="B1453" s="1" t="str">
        <f t="shared" si="36"/>
        <v>02406911202</v>
      </c>
      <c r="C1453" s="1" t="s">
        <v>13</v>
      </c>
      <c r="D1453" s="1" t="s">
        <v>37</v>
      </c>
      <c r="E1453" s="1" t="s">
        <v>3139</v>
      </c>
      <c r="F1453" s="1" t="s">
        <v>117</v>
      </c>
      <c r="G1453" s="1" t="str">
        <f>"03663160962"</f>
        <v>03663160962</v>
      </c>
      <c r="I1453" s="1" t="s">
        <v>322</v>
      </c>
      <c r="L1453" s="1" t="s">
        <v>44</v>
      </c>
      <c r="M1453" s="1" t="s">
        <v>3140</v>
      </c>
      <c r="AG1453" s="1" t="s">
        <v>3141</v>
      </c>
      <c r="AH1453" s="2">
        <v>44943</v>
      </c>
      <c r="AI1453" s="2">
        <v>46022</v>
      </c>
      <c r="AJ1453" s="2">
        <v>44943</v>
      </c>
    </row>
    <row r="1454" spans="1:36">
      <c r="A1454" s="1" t="str">
        <f>"ZF239DE8C2"</f>
        <v>ZF239DE8C2</v>
      </c>
      <c r="B1454" s="1" t="str">
        <f t="shared" si="36"/>
        <v>02406911202</v>
      </c>
      <c r="C1454" s="1" t="s">
        <v>13</v>
      </c>
      <c r="D1454" s="1" t="s">
        <v>37</v>
      </c>
      <c r="E1454" s="1" t="s">
        <v>3142</v>
      </c>
      <c r="F1454" s="1" t="s">
        <v>117</v>
      </c>
      <c r="G1454" s="1" t="str">
        <f>"00226250165"</f>
        <v>00226250165</v>
      </c>
      <c r="I1454" s="1" t="s">
        <v>3143</v>
      </c>
      <c r="L1454" s="1" t="s">
        <v>44</v>
      </c>
      <c r="M1454" s="1" t="s">
        <v>3144</v>
      </c>
      <c r="AG1454" s="1" t="s">
        <v>124</v>
      </c>
      <c r="AH1454" s="2">
        <v>44943</v>
      </c>
      <c r="AI1454" s="2">
        <v>46022</v>
      </c>
      <c r="AJ1454" s="2">
        <v>44943</v>
      </c>
    </row>
    <row r="1455" spans="1:36">
      <c r="A1455" s="1" t="str">
        <f>"960619855D"</f>
        <v>960619855D</v>
      </c>
      <c r="B1455" s="1" t="str">
        <f t="shared" si="36"/>
        <v>02406911202</v>
      </c>
      <c r="C1455" s="1" t="s">
        <v>13</v>
      </c>
      <c r="D1455" s="1" t="s">
        <v>37</v>
      </c>
      <c r="E1455" s="1" t="s">
        <v>3145</v>
      </c>
      <c r="F1455" s="1" t="s">
        <v>39</v>
      </c>
      <c r="G1455" s="1" t="str">
        <f>"06032681006"</f>
        <v>06032681006</v>
      </c>
      <c r="I1455" s="1" t="s">
        <v>1351</v>
      </c>
      <c r="L1455" s="1" t="s">
        <v>44</v>
      </c>
      <c r="M1455" s="1" t="s">
        <v>124</v>
      </c>
      <c r="AG1455" s="1" t="s">
        <v>3146</v>
      </c>
      <c r="AH1455" s="2">
        <v>44927</v>
      </c>
      <c r="AI1455" s="2">
        <v>45291</v>
      </c>
      <c r="AJ1455" s="2">
        <v>44927</v>
      </c>
    </row>
    <row r="1456" spans="1:36">
      <c r="A1456" s="1" t="str">
        <f>"Z0F3991BD6"</f>
        <v>Z0F3991BD6</v>
      </c>
      <c r="B1456" s="1" t="str">
        <f t="shared" si="36"/>
        <v>02406911202</v>
      </c>
      <c r="C1456" s="1" t="s">
        <v>13</v>
      </c>
      <c r="D1456" s="1" t="s">
        <v>1253</v>
      </c>
      <c r="E1456" s="1" t="s">
        <v>1254</v>
      </c>
      <c r="F1456" s="1" t="s">
        <v>49</v>
      </c>
      <c r="G1456" s="1" t="str">
        <f>"01749330047"</f>
        <v>01749330047</v>
      </c>
      <c r="I1456" s="1" t="s">
        <v>3147</v>
      </c>
      <c r="L1456" s="1" t="s">
        <v>44</v>
      </c>
      <c r="M1456" s="1" t="s">
        <v>1255</v>
      </c>
      <c r="AG1456" s="1" t="s">
        <v>918</v>
      </c>
      <c r="AH1456" s="2">
        <v>44944</v>
      </c>
      <c r="AI1456" s="2">
        <v>45291</v>
      </c>
      <c r="AJ1456" s="2">
        <v>44944</v>
      </c>
    </row>
    <row r="1457" spans="1:36">
      <c r="A1457" s="1" t="str">
        <f>"96061616D4"</f>
        <v>96061616D4</v>
      </c>
      <c r="B1457" s="1" t="str">
        <f t="shared" si="36"/>
        <v>02406911202</v>
      </c>
      <c r="C1457" s="1" t="s">
        <v>13</v>
      </c>
      <c r="D1457" s="1" t="s">
        <v>1312</v>
      </c>
      <c r="E1457" s="1" t="s">
        <v>3148</v>
      </c>
      <c r="F1457" s="1" t="s">
        <v>49</v>
      </c>
      <c r="G1457" s="1" t="str">
        <f>"02349421202"</f>
        <v>02349421202</v>
      </c>
      <c r="I1457" s="1" t="s">
        <v>3149</v>
      </c>
      <c r="L1457" s="1" t="s">
        <v>44</v>
      </c>
      <c r="M1457" s="1" t="s">
        <v>3150</v>
      </c>
      <c r="AG1457" s="1" t="s">
        <v>3151</v>
      </c>
      <c r="AH1457" s="2">
        <v>44958</v>
      </c>
      <c r="AI1457" s="2">
        <v>45689</v>
      </c>
      <c r="AJ1457" s="2">
        <v>44958</v>
      </c>
    </row>
    <row r="1458" spans="1:36">
      <c r="A1458" s="1" t="str">
        <f>"Z0339C30D2"</f>
        <v>Z0339C30D2</v>
      </c>
      <c r="B1458" s="1" t="str">
        <f t="shared" si="36"/>
        <v>02406911202</v>
      </c>
      <c r="C1458" s="1" t="s">
        <v>13</v>
      </c>
      <c r="D1458" s="1" t="s">
        <v>1253</v>
      </c>
      <c r="E1458" s="1" t="s">
        <v>1270</v>
      </c>
      <c r="F1458" s="1" t="s">
        <v>49</v>
      </c>
      <c r="G1458" s="1" t="str">
        <f>"00228550273"</f>
        <v>00228550273</v>
      </c>
      <c r="I1458" s="1" t="s">
        <v>1717</v>
      </c>
      <c r="L1458" s="1" t="s">
        <v>44</v>
      </c>
      <c r="M1458" s="1" t="s">
        <v>1255</v>
      </c>
      <c r="AG1458" s="1" t="s">
        <v>3152</v>
      </c>
      <c r="AH1458" s="2">
        <v>44958</v>
      </c>
      <c r="AI1458" s="2">
        <v>45291</v>
      </c>
      <c r="AJ1458" s="2">
        <v>44958</v>
      </c>
    </row>
    <row r="1459" spans="1:36">
      <c r="A1459" s="1" t="str">
        <f>"ZCE3A1E682"</f>
        <v>ZCE3A1E682</v>
      </c>
      <c r="B1459" s="1" t="str">
        <f t="shared" si="36"/>
        <v>02406911202</v>
      </c>
      <c r="C1459" s="1" t="s">
        <v>13</v>
      </c>
      <c r="D1459" s="1" t="s">
        <v>1253</v>
      </c>
      <c r="E1459" s="1" t="s">
        <v>1387</v>
      </c>
      <c r="F1459" s="1" t="s">
        <v>49</v>
      </c>
      <c r="G1459" s="1" t="str">
        <f>"11654150157"</f>
        <v>11654150157</v>
      </c>
      <c r="I1459" s="1" t="s">
        <v>1468</v>
      </c>
      <c r="L1459" s="1" t="s">
        <v>44</v>
      </c>
      <c r="M1459" s="1" t="s">
        <v>1255</v>
      </c>
      <c r="AG1459" s="1" t="s">
        <v>3153</v>
      </c>
      <c r="AH1459" s="2">
        <v>44984</v>
      </c>
      <c r="AI1459" s="2">
        <v>45291</v>
      </c>
      <c r="AJ1459" s="2">
        <v>44984</v>
      </c>
    </row>
    <row r="1460" spans="1:36">
      <c r="A1460" s="1" t="str">
        <f>"Z753A20F3B"</f>
        <v>Z753A20F3B</v>
      </c>
      <c r="B1460" s="1" t="str">
        <f t="shared" si="36"/>
        <v>02406911202</v>
      </c>
      <c r="C1460" s="1" t="s">
        <v>13</v>
      </c>
      <c r="D1460" s="1" t="s">
        <v>1312</v>
      </c>
      <c r="E1460" s="1" t="s">
        <v>3154</v>
      </c>
      <c r="F1460" s="1" t="s">
        <v>49</v>
      </c>
      <c r="G1460" s="1" t="str">
        <f>"01865630287"</f>
        <v>01865630287</v>
      </c>
      <c r="I1460" s="1" t="s">
        <v>3155</v>
      </c>
      <c r="L1460" s="1" t="s">
        <v>44</v>
      </c>
      <c r="M1460" s="1" t="s">
        <v>1314</v>
      </c>
      <c r="AG1460" s="1" t="s">
        <v>3156</v>
      </c>
      <c r="AH1460" s="2">
        <v>44984</v>
      </c>
      <c r="AI1460" s="2">
        <v>45322</v>
      </c>
      <c r="AJ1460" s="2">
        <v>44984</v>
      </c>
    </row>
    <row r="1461" spans="1:36">
      <c r="A1461" s="1" t="str">
        <f>"Z7F3A29454"</f>
        <v>Z7F3A29454</v>
      </c>
      <c r="B1461" s="1" t="str">
        <f t="shared" si="36"/>
        <v>02406911202</v>
      </c>
      <c r="C1461" s="1" t="s">
        <v>13</v>
      </c>
      <c r="D1461" s="1" t="s">
        <v>1253</v>
      </c>
      <c r="E1461" s="1" t="s">
        <v>1317</v>
      </c>
      <c r="F1461" s="1" t="s">
        <v>49</v>
      </c>
      <c r="G1461" s="1" t="str">
        <f>"02426070120"</f>
        <v>02426070120</v>
      </c>
      <c r="I1461" s="1" t="s">
        <v>2218</v>
      </c>
      <c r="L1461" s="1" t="s">
        <v>44</v>
      </c>
      <c r="M1461" s="1" t="s">
        <v>1255</v>
      </c>
      <c r="AG1461" s="1" t="s">
        <v>3157</v>
      </c>
      <c r="AH1461" s="2">
        <v>44992</v>
      </c>
      <c r="AI1461" s="2">
        <v>45291</v>
      </c>
      <c r="AJ1461" s="2">
        <v>44992</v>
      </c>
    </row>
    <row r="1462" spans="1:36">
      <c r="A1462" s="1" t="str">
        <f>"ZF1399403D"</f>
        <v>ZF1399403D</v>
      </c>
      <c r="B1462" s="1" t="str">
        <f t="shared" si="36"/>
        <v>02406911202</v>
      </c>
      <c r="C1462" s="1" t="s">
        <v>13</v>
      </c>
      <c r="D1462" s="1" t="s">
        <v>1253</v>
      </c>
      <c r="E1462" s="1" t="s">
        <v>1254</v>
      </c>
      <c r="F1462" s="1" t="s">
        <v>49</v>
      </c>
      <c r="G1462" s="1" t="str">
        <f>"01128170220"</f>
        <v>01128170220</v>
      </c>
      <c r="I1462" s="1" t="s">
        <v>2738</v>
      </c>
      <c r="L1462" s="1" t="s">
        <v>44</v>
      </c>
      <c r="M1462" s="1" t="s">
        <v>1255</v>
      </c>
      <c r="AG1462" s="1" t="s">
        <v>3158</v>
      </c>
      <c r="AH1462" s="2">
        <v>44945</v>
      </c>
      <c r="AI1462" s="2">
        <v>45291</v>
      </c>
      <c r="AJ1462" s="2">
        <v>44945</v>
      </c>
    </row>
    <row r="1463" spans="1:36">
      <c r="A1463" s="1" t="str">
        <f>"ZA6399C4FA"</f>
        <v>ZA6399C4FA</v>
      </c>
      <c r="B1463" s="1" t="str">
        <f t="shared" si="36"/>
        <v>02406911202</v>
      </c>
      <c r="C1463" s="1" t="s">
        <v>13</v>
      </c>
      <c r="D1463" s="1" t="s">
        <v>1253</v>
      </c>
      <c r="E1463" s="1" t="s">
        <v>1260</v>
      </c>
      <c r="F1463" s="1" t="s">
        <v>49</v>
      </c>
      <c r="G1463" s="1" t="str">
        <f>"02803471206"</f>
        <v>02803471206</v>
      </c>
      <c r="I1463" s="1" t="s">
        <v>1638</v>
      </c>
      <c r="L1463" s="1" t="s">
        <v>44</v>
      </c>
      <c r="M1463" s="1" t="s">
        <v>1255</v>
      </c>
      <c r="AG1463" s="1" t="s">
        <v>3159</v>
      </c>
      <c r="AH1463" s="2">
        <v>44949</v>
      </c>
      <c r="AI1463" s="2">
        <v>45291</v>
      </c>
      <c r="AJ1463" s="2">
        <v>44949</v>
      </c>
    </row>
    <row r="1464" spans="1:36">
      <c r="A1464" s="1" t="str">
        <f>"963361241D"</f>
        <v>963361241D</v>
      </c>
      <c r="B1464" s="1" t="str">
        <f t="shared" si="36"/>
        <v>02406911202</v>
      </c>
      <c r="C1464" s="1" t="s">
        <v>13</v>
      </c>
      <c r="D1464" s="1" t="s">
        <v>37</v>
      </c>
      <c r="E1464" s="1" t="s">
        <v>3160</v>
      </c>
      <c r="F1464" s="1" t="s">
        <v>117</v>
      </c>
      <c r="G1464" s="1" t="str">
        <f>"00426150488"</f>
        <v>00426150488</v>
      </c>
      <c r="I1464" s="1" t="s">
        <v>2168</v>
      </c>
      <c r="L1464" s="1" t="s">
        <v>44</v>
      </c>
      <c r="M1464" s="1" t="s">
        <v>3161</v>
      </c>
      <c r="AG1464" s="1" t="s">
        <v>3162</v>
      </c>
      <c r="AH1464" s="2">
        <v>44960</v>
      </c>
      <c r="AI1464" s="2">
        <v>45626</v>
      </c>
      <c r="AJ1464" s="2">
        <v>44960</v>
      </c>
    </row>
    <row r="1465" spans="1:36">
      <c r="A1465" s="1" t="str">
        <f>"9636448873"</f>
        <v>9636448873</v>
      </c>
      <c r="B1465" s="1" t="str">
        <f t="shared" si="36"/>
        <v>02406911202</v>
      </c>
      <c r="C1465" s="1" t="s">
        <v>13</v>
      </c>
      <c r="D1465" s="1" t="s">
        <v>37</v>
      </c>
      <c r="E1465" s="1" t="s">
        <v>3163</v>
      </c>
      <c r="F1465" s="1" t="s">
        <v>117</v>
      </c>
      <c r="G1465" s="1" t="str">
        <f>"03716240969"</f>
        <v>03716240969</v>
      </c>
      <c r="I1465" s="1" t="s">
        <v>3164</v>
      </c>
      <c r="L1465" s="1" t="s">
        <v>44</v>
      </c>
      <c r="M1465" s="1" t="s">
        <v>3165</v>
      </c>
      <c r="AG1465" s="1" t="s">
        <v>3166</v>
      </c>
      <c r="AH1465" s="2">
        <v>44943</v>
      </c>
      <c r="AI1465" s="2">
        <v>46022</v>
      </c>
      <c r="AJ1465" s="2">
        <v>44943</v>
      </c>
    </row>
    <row r="1466" spans="1:36">
      <c r="A1466" s="1" t="str">
        <f>"9633587F78"</f>
        <v>9633587F78</v>
      </c>
      <c r="B1466" s="1" t="str">
        <f t="shared" si="36"/>
        <v>02406911202</v>
      </c>
      <c r="C1466" s="1" t="s">
        <v>13</v>
      </c>
      <c r="D1466" s="1" t="s">
        <v>37</v>
      </c>
      <c r="E1466" s="1" t="s">
        <v>3167</v>
      </c>
      <c r="F1466" s="1" t="s">
        <v>117</v>
      </c>
      <c r="G1466" s="1" t="str">
        <f>"00832400154"</f>
        <v>00832400154</v>
      </c>
      <c r="I1466" s="1" t="s">
        <v>285</v>
      </c>
      <c r="L1466" s="1" t="s">
        <v>44</v>
      </c>
      <c r="M1466" s="1" t="s">
        <v>3168</v>
      </c>
      <c r="AG1466" s="1" t="s">
        <v>3169</v>
      </c>
      <c r="AH1466" s="2">
        <v>44960</v>
      </c>
      <c r="AI1466" s="2">
        <v>45626</v>
      </c>
      <c r="AJ1466" s="2">
        <v>44960</v>
      </c>
    </row>
    <row r="1467" spans="1:36">
      <c r="A1467" s="1" t="str">
        <f>"9633625ED4"</f>
        <v>9633625ED4</v>
      </c>
      <c r="B1467" s="1" t="str">
        <f t="shared" si="36"/>
        <v>02406911202</v>
      </c>
      <c r="C1467" s="1" t="s">
        <v>13</v>
      </c>
      <c r="D1467" s="1" t="s">
        <v>37</v>
      </c>
      <c r="E1467" s="1" t="s">
        <v>3170</v>
      </c>
      <c r="F1467" s="1" t="s">
        <v>117</v>
      </c>
      <c r="G1467" s="1" t="str">
        <f>"02774840595"</f>
        <v>02774840595</v>
      </c>
      <c r="I1467" s="1" t="s">
        <v>2095</v>
      </c>
      <c r="L1467" s="1" t="s">
        <v>44</v>
      </c>
      <c r="M1467" s="1" t="s">
        <v>3171</v>
      </c>
      <c r="AG1467" s="1" t="s">
        <v>3172</v>
      </c>
      <c r="AH1467" s="2">
        <v>44960</v>
      </c>
      <c r="AI1467" s="2">
        <v>45626</v>
      </c>
      <c r="AJ1467" s="2">
        <v>44960</v>
      </c>
    </row>
    <row r="1468" spans="1:36">
      <c r="A1468" s="1" t="str">
        <f>"Z9639CC73C"</f>
        <v>Z9639CC73C</v>
      </c>
      <c r="B1468" s="1" t="str">
        <f t="shared" si="36"/>
        <v>02406911202</v>
      </c>
      <c r="C1468" s="1" t="s">
        <v>13</v>
      </c>
      <c r="D1468" s="1" t="s">
        <v>1253</v>
      </c>
      <c r="E1468" s="1" t="s">
        <v>1260</v>
      </c>
      <c r="F1468" s="1" t="s">
        <v>49</v>
      </c>
      <c r="G1468" s="1" t="str">
        <f>"09270550016"</f>
        <v>09270550016</v>
      </c>
      <c r="I1468" s="1" t="s">
        <v>1328</v>
      </c>
      <c r="L1468" s="1" t="s">
        <v>44</v>
      </c>
      <c r="M1468" s="1" t="s">
        <v>1255</v>
      </c>
      <c r="AG1468" s="1" t="s">
        <v>3173</v>
      </c>
      <c r="AH1468" s="2">
        <v>44960</v>
      </c>
      <c r="AI1468" s="2">
        <v>45291</v>
      </c>
      <c r="AJ1468" s="2">
        <v>44960</v>
      </c>
    </row>
    <row r="1469" spans="1:36">
      <c r="A1469" s="1" t="str">
        <f>"9636614172"</f>
        <v>9636614172</v>
      </c>
      <c r="B1469" s="1" t="str">
        <f t="shared" si="36"/>
        <v>02406911202</v>
      </c>
      <c r="C1469" s="1" t="s">
        <v>13</v>
      </c>
      <c r="D1469" s="1" t="s">
        <v>37</v>
      </c>
      <c r="E1469" s="1" t="s">
        <v>3174</v>
      </c>
      <c r="F1469" s="1" t="s">
        <v>117</v>
      </c>
      <c r="G1469" s="1" t="str">
        <f>"04516021005"</f>
        <v>04516021005</v>
      </c>
      <c r="I1469" s="1" t="s">
        <v>3175</v>
      </c>
      <c r="L1469" s="1" t="s">
        <v>44</v>
      </c>
      <c r="M1469" s="1" t="s">
        <v>3176</v>
      </c>
      <c r="AG1469" s="1" t="s">
        <v>3177</v>
      </c>
      <c r="AH1469" s="2">
        <v>44943</v>
      </c>
      <c r="AI1469" s="2">
        <v>46022</v>
      </c>
      <c r="AJ1469" s="2">
        <v>44943</v>
      </c>
    </row>
    <row r="1470" spans="1:36">
      <c r="A1470" s="1" t="str">
        <f>"ZA739FBEC7"</f>
        <v>ZA739FBEC7</v>
      </c>
      <c r="B1470" s="1" t="str">
        <f t="shared" si="36"/>
        <v>02406911202</v>
      </c>
      <c r="C1470" s="1" t="s">
        <v>13</v>
      </c>
      <c r="D1470" s="1" t="s">
        <v>1253</v>
      </c>
      <c r="E1470" s="1" t="s">
        <v>1262</v>
      </c>
      <c r="F1470" s="1" t="s">
        <v>49</v>
      </c>
      <c r="G1470" s="1" t="str">
        <f>"00832400154"</f>
        <v>00832400154</v>
      </c>
      <c r="I1470" s="1" t="s">
        <v>285</v>
      </c>
      <c r="L1470" s="1" t="s">
        <v>44</v>
      </c>
      <c r="M1470" s="1" t="s">
        <v>1255</v>
      </c>
      <c r="AG1470" s="1" t="s">
        <v>3178</v>
      </c>
      <c r="AH1470" s="2">
        <v>44973</v>
      </c>
      <c r="AI1470" s="2">
        <v>45291</v>
      </c>
      <c r="AJ1470" s="2">
        <v>44973</v>
      </c>
    </row>
    <row r="1471" spans="1:36">
      <c r="A1471" s="1" t="str">
        <f>"Z063A00132"</f>
        <v>Z063A00132</v>
      </c>
      <c r="B1471" s="1" t="str">
        <f t="shared" si="36"/>
        <v>02406911202</v>
      </c>
      <c r="C1471" s="1" t="s">
        <v>13</v>
      </c>
      <c r="D1471" s="1" t="s">
        <v>1312</v>
      </c>
      <c r="E1471" s="1" t="s">
        <v>3179</v>
      </c>
      <c r="F1471" s="1" t="s">
        <v>49</v>
      </c>
      <c r="G1471" s="1" t="str">
        <f>"03597020373"</f>
        <v>03597020373</v>
      </c>
      <c r="I1471" s="1" t="s">
        <v>920</v>
      </c>
      <c r="L1471" s="1" t="s">
        <v>44</v>
      </c>
      <c r="M1471" s="1" t="s">
        <v>1314</v>
      </c>
      <c r="AG1471" s="1" t="s">
        <v>3180</v>
      </c>
      <c r="AH1471" s="2">
        <v>44973</v>
      </c>
      <c r="AI1471" s="2">
        <v>45291</v>
      </c>
      <c r="AJ1471" s="2">
        <v>44973</v>
      </c>
    </row>
    <row r="1472" spans="1:36">
      <c r="A1472" s="1" t="str">
        <f>"9621704153"</f>
        <v>9621704153</v>
      </c>
      <c r="B1472" s="1" t="str">
        <f t="shared" si="36"/>
        <v>02406911202</v>
      </c>
      <c r="C1472" s="1" t="s">
        <v>13</v>
      </c>
      <c r="D1472" s="1" t="s">
        <v>1312</v>
      </c>
      <c r="E1472" s="1" t="s">
        <v>3181</v>
      </c>
      <c r="F1472" s="1" t="s">
        <v>49</v>
      </c>
      <c r="G1472" s="1" t="str">
        <f>"01067490050"</f>
        <v>01067490050</v>
      </c>
      <c r="I1472" s="1" t="s">
        <v>1274</v>
      </c>
      <c r="L1472" s="1" t="s">
        <v>44</v>
      </c>
      <c r="M1472" s="1" t="s">
        <v>3182</v>
      </c>
      <c r="AG1472" s="1" t="s">
        <v>3183</v>
      </c>
      <c r="AH1472" s="2">
        <v>44974</v>
      </c>
      <c r="AI1472" s="2">
        <v>45412</v>
      </c>
      <c r="AJ1472" s="2">
        <v>44974</v>
      </c>
    </row>
    <row r="1473" spans="1:36">
      <c r="A1473" s="1" t="str">
        <f>"Z533A023AD"</f>
        <v>Z533A023AD</v>
      </c>
      <c r="B1473" s="1" t="str">
        <f t="shared" si="36"/>
        <v>02406911202</v>
      </c>
      <c r="C1473" s="1" t="s">
        <v>13</v>
      </c>
      <c r="D1473" s="1" t="s">
        <v>205</v>
      </c>
      <c r="E1473" s="1" t="s">
        <v>3184</v>
      </c>
      <c r="F1473" s="1" t="s">
        <v>49</v>
      </c>
      <c r="G1473" s="1" t="str">
        <f>"05363561001"</f>
        <v>05363561001</v>
      </c>
      <c r="I1473" s="1" t="s">
        <v>3185</v>
      </c>
      <c r="L1473" s="1" t="s">
        <v>44</v>
      </c>
      <c r="M1473" s="1" t="s">
        <v>3186</v>
      </c>
      <c r="AG1473" s="1" t="s">
        <v>3187</v>
      </c>
      <c r="AH1473" s="2">
        <v>44986</v>
      </c>
      <c r="AI1473" s="2">
        <v>46022</v>
      </c>
      <c r="AJ1473" s="2">
        <v>44986</v>
      </c>
    </row>
    <row r="1474" spans="1:36">
      <c r="A1474" s="1" t="str">
        <f>"9636647CAA"</f>
        <v>9636647CAA</v>
      </c>
      <c r="B1474" s="1" t="str">
        <f t="shared" si="36"/>
        <v>02406911202</v>
      </c>
      <c r="C1474" s="1" t="s">
        <v>13</v>
      </c>
      <c r="D1474" s="1" t="s">
        <v>37</v>
      </c>
      <c r="E1474" s="1" t="s">
        <v>3188</v>
      </c>
      <c r="F1474" s="1" t="s">
        <v>117</v>
      </c>
      <c r="G1474" s="1" t="str">
        <f>"03296950151"</f>
        <v>03296950151</v>
      </c>
      <c r="I1474" s="1" t="s">
        <v>3189</v>
      </c>
      <c r="L1474" s="1" t="s">
        <v>44</v>
      </c>
      <c r="M1474" s="1" t="s">
        <v>3190</v>
      </c>
      <c r="AG1474" s="1" t="s">
        <v>3191</v>
      </c>
      <c r="AH1474" s="2">
        <v>44943</v>
      </c>
      <c r="AI1474" s="2">
        <v>46022</v>
      </c>
      <c r="AJ1474" s="2">
        <v>44943</v>
      </c>
    </row>
    <row r="1475" spans="1:36">
      <c r="A1475" s="1" t="str">
        <f>"Z9539B2C26"</f>
        <v>Z9539B2C26</v>
      </c>
      <c r="B1475" s="1" t="str">
        <f t="shared" si="36"/>
        <v>02406911202</v>
      </c>
      <c r="C1475" s="1" t="s">
        <v>13</v>
      </c>
      <c r="D1475" s="1" t="s">
        <v>37</v>
      </c>
      <c r="E1475" s="1" t="s">
        <v>3192</v>
      </c>
      <c r="F1475" s="1" t="s">
        <v>117</v>
      </c>
      <c r="G1475" s="1" t="str">
        <f>"02108510401"</f>
        <v>02108510401</v>
      </c>
      <c r="I1475" s="1" t="s">
        <v>1790</v>
      </c>
      <c r="L1475" s="1" t="s">
        <v>44</v>
      </c>
      <c r="M1475" s="1" t="s">
        <v>3193</v>
      </c>
      <c r="AG1475" s="1" t="s">
        <v>124</v>
      </c>
      <c r="AH1475" s="2">
        <v>44927</v>
      </c>
      <c r="AI1475" s="2">
        <v>45473</v>
      </c>
      <c r="AJ1475" s="2">
        <v>44927</v>
      </c>
    </row>
    <row r="1476" spans="1:36">
      <c r="A1476" s="1" t="str">
        <f>"9625662391"</f>
        <v>9625662391</v>
      </c>
      <c r="B1476" s="1" t="str">
        <f t="shared" si="36"/>
        <v>02406911202</v>
      </c>
      <c r="C1476" s="1" t="s">
        <v>13</v>
      </c>
      <c r="D1476" s="1" t="s">
        <v>37</v>
      </c>
      <c r="E1476" s="1" t="s">
        <v>3194</v>
      </c>
      <c r="F1476" s="1" t="s">
        <v>117</v>
      </c>
      <c r="G1476" s="1" t="str">
        <f>"01837320207"</f>
        <v>01837320207</v>
      </c>
      <c r="I1476" s="1" t="s">
        <v>1794</v>
      </c>
      <c r="L1476" s="1" t="s">
        <v>44</v>
      </c>
      <c r="M1476" s="1" t="s">
        <v>3195</v>
      </c>
      <c r="AG1476" s="1" t="s">
        <v>3196</v>
      </c>
      <c r="AH1476" s="2">
        <v>44927</v>
      </c>
      <c r="AI1476" s="2">
        <v>45473</v>
      </c>
      <c r="AJ1476" s="2">
        <v>44927</v>
      </c>
    </row>
    <row r="1477" spans="1:36">
      <c r="A1477" s="1" t="str">
        <f>"Z8E39B2E2F"</f>
        <v>Z8E39B2E2F</v>
      </c>
      <c r="B1477" s="1" t="str">
        <f t="shared" si="36"/>
        <v>02406911202</v>
      </c>
      <c r="C1477" s="1" t="s">
        <v>13</v>
      </c>
      <c r="D1477" s="1" t="s">
        <v>37</v>
      </c>
      <c r="E1477" s="1" t="s">
        <v>3197</v>
      </c>
      <c r="F1477" s="1" t="s">
        <v>117</v>
      </c>
      <c r="G1477" s="1" t="str">
        <f>"01837320207"</f>
        <v>01837320207</v>
      </c>
      <c r="I1477" s="1" t="s">
        <v>1794</v>
      </c>
      <c r="L1477" s="1" t="s">
        <v>44</v>
      </c>
      <c r="M1477" s="1" t="s">
        <v>3198</v>
      </c>
      <c r="AG1477" s="1" t="s">
        <v>124</v>
      </c>
      <c r="AH1477" s="2">
        <v>44927</v>
      </c>
      <c r="AI1477" s="2">
        <v>45473</v>
      </c>
      <c r="AJ1477" s="2">
        <v>44927</v>
      </c>
    </row>
    <row r="1478" spans="1:36">
      <c r="A1478" s="1" t="str">
        <f>"ZF639B2EC3"</f>
        <v>ZF639B2EC3</v>
      </c>
      <c r="B1478" s="1" t="str">
        <f t="shared" ref="B1478:B1541" si="37">"02406911202"</f>
        <v>02406911202</v>
      </c>
      <c r="C1478" s="1" t="s">
        <v>13</v>
      </c>
      <c r="D1478" s="1" t="s">
        <v>37</v>
      </c>
      <c r="E1478" s="1" t="s">
        <v>3199</v>
      </c>
      <c r="F1478" s="1" t="s">
        <v>117</v>
      </c>
      <c r="G1478" s="1" t="str">
        <f>"01837320207"</f>
        <v>01837320207</v>
      </c>
      <c r="I1478" s="1" t="s">
        <v>1794</v>
      </c>
      <c r="L1478" s="1" t="s">
        <v>44</v>
      </c>
      <c r="M1478" s="1" t="s">
        <v>3200</v>
      </c>
      <c r="AG1478" s="1" t="s">
        <v>124</v>
      </c>
      <c r="AH1478" s="2">
        <v>44927</v>
      </c>
      <c r="AI1478" s="2">
        <v>45473</v>
      </c>
      <c r="AJ1478" s="2">
        <v>44927</v>
      </c>
    </row>
    <row r="1479" spans="1:36">
      <c r="A1479" s="1" t="str">
        <f>"ZCB39B3AB4"</f>
        <v>ZCB39B3AB4</v>
      </c>
      <c r="B1479" s="1" t="str">
        <f t="shared" si="37"/>
        <v>02406911202</v>
      </c>
      <c r="C1479" s="1" t="s">
        <v>13</v>
      </c>
      <c r="D1479" s="1" t="s">
        <v>37</v>
      </c>
      <c r="E1479" s="1" t="s">
        <v>3201</v>
      </c>
      <c r="F1479" s="1" t="s">
        <v>117</v>
      </c>
      <c r="G1479" s="1" t="str">
        <f>"01837320207"</f>
        <v>01837320207</v>
      </c>
      <c r="I1479" s="1" t="s">
        <v>1794</v>
      </c>
      <c r="L1479" s="1" t="s">
        <v>44</v>
      </c>
      <c r="M1479" s="1" t="s">
        <v>3202</v>
      </c>
      <c r="AG1479" s="1" t="s">
        <v>124</v>
      </c>
      <c r="AH1479" s="2">
        <v>44927</v>
      </c>
      <c r="AI1479" s="2">
        <v>45473</v>
      </c>
      <c r="AJ1479" s="2">
        <v>44927</v>
      </c>
    </row>
    <row r="1480" spans="1:36">
      <c r="A1480" s="1" t="str">
        <f>"Z8139B26C2"</f>
        <v>Z8139B26C2</v>
      </c>
      <c r="B1480" s="1" t="str">
        <f t="shared" si="37"/>
        <v>02406911202</v>
      </c>
      <c r="C1480" s="1" t="s">
        <v>13</v>
      </c>
      <c r="D1480" s="1" t="s">
        <v>37</v>
      </c>
      <c r="E1480" s="1" t="s">
        <v>1793</v>
      </c>
      <c r="F1480" s="1" t="s">
        <v>117</v>
      </c>
      <c r="G1480" s="1" t="str">
        <f>"02372010351"</f>
        <v>02372010351</v>
      </c>
      <c r="I1480" s="1" t="s">
        <v>3203</v>
      </c>
      <c r="L1480" s="1" t="s">
        <v>44</v>
      </c>
      <c r="M1480" s="1" t="s">
        <v>124</v>
      </c>
      <c r="AG1480" s="1" t="s">
        <v>3204</v>
      </c>
      <c r="AH1480" s="2">
        <v>44927</v>
      </c>
      <c r="AI1480" s="2">
        <v>45473</v>
      </c>
      <c r="AJ1480" s="2">
        <v>44927</v>
      </c>
    </row>
    <row r="1481" spans="1:36">
      <c r="A1481" s="1" t="str">
        <f>"968537504C"</f>
        <v>968537504C</v>
      </c>
      <c r="B1481" s="1" t="str">
        <f t="shared" si="37"/>
        <v>02406911202</v>
      </c>
      <c r="C1481" s="1" t="s">
        <v>13</v>
      </c>
      <c r="D1481" s="1" t="s">
        <v>37</v>
      </c>
      <c r="E1481" s="1" t="s">
        <v>2422</v>
      </c>
      <c r="F1481" s="1" t="s">
        <v>117</v>
      </c>
      <c r="G1481" s="1" t="str">
        <f>"02689300123"</f>
        <v>02689300123</v>
      </c>
      <c r="I1481" s="1" t="s">
        <v>2055</v>
      </c>
      <c r="L1481" s="1" t="s">
        <v>44</v>
      </c>
      <c r="M1481" s="1" t="s">
        <v>3205</v>
      </c>
      <c r="AG1481" s="1" t="s">
        <v>3206</v>
      </c>
      <c r="AH1481" s="2">
        <v>44987</v>
      </c>
      <c r="AI1481" s="2">
        <v>45626</v>
      </c>
      <c r="AJ1481" s="2">
        <v>44987</v>
      </c>
    </row>
    <row r="1482" spans="1:36">
      <c r="A1482" s="1" t="str">
        <f>"Z3E3A319CD"</f>
        <v>Z3E3A319CD</v>
      </c>
      <c r="B1482" s="1" t="str">
        <f t="shared" si="37"/>
        <v>02406911202</v>
      </c>
      <c r="C1482" s="1" t="s">
        <v>13</v>
      </c>
      <c r="D1482" s="1" t="s">
        <v>1253</v>
      </c>
      <c r="E1482" s="1" t="s">
        <v>1254</v>
      </c>
      <c r="F1482" s="1" t="s">
        <v>49</v>
      </c>
      <c r="G1482" s="1" t="str">
        <f>"06032681006"</f>
        <v>06032681006</v>
      </c>
      <c r="I1482" s="1" t="s">
        <v>1351</v>
      </c>
      <c r="L1482" s="1" t="s">
        <v>44</v>
      </c>
      <c r="M1482" s="1" t="s">
        <v>1255</v>
      </c>
      <c r="AG1482" s="1" t="s">
        <v>3207</v>
      </c>
      <c r="AH1482" s="2">
        <v>44987</v>
      </c>
      <c r="AI1482" s="2">
        <v>45291</v>
      </c>
      <c r="AJ1482" s="2">
        <v>44987</v>
      </c>
    </row>
    <row r="1483" spans="1:36">
      <c r="A1483" s="1" t="str">
        <f>"Z093A45BD1"</f>
        <v>Z093A45BD1</v>
      </c>
      <c r="B1483" s="1" t="str">
        <f t="shared" si="37"/>
        <v>02406911202</v>
      </c>
      <c r="C1483" s="1" t="s">
        <v>13</v>
      </c>
      <c r="D1483" s="1" t="s">
        <v>1257</v>
      </c>
      <c r="E1483" s="1" t="s">
        <v>3208</v>
      </c>
      <c r="F1483" s="1" t="s">
        <v>49</v>
      </c>
      <c r="G1483" s="1" t="str">
        <f>"01122350380"</f>
        <v>01122350380</v>
      </c>
      <c r="I1483" s="1" t="s">
        <v>2454</v>
      </c>
      <c r="L1483" s="1" t="s">
        <v>44</v>
      </c>
      <c r="M1483" s="1" t="s">
        <v>153</v>
      </c>
      <c r="AG1483" s="1" t="s">
        <v>3209</v>
      </c>
      <c r="AH1483" s="2">
        <v>44993</v>
      </c>
      <c r="AI1483" s="2">
        <v>45291</v>
      </c>
      <c r="AJ1483" s="2">
        <v>44993</v>
      </c>
    </row>
    <row r="1484" spans="1:36">
      <c r="A1484" s="1" t="str">
        <f>"Z9D3A46069"</f>
        <v>Z9D3A46069</v>
      </c>
      <c r="B1484" s="1" t="str">
        <f t="shared" si="37"/>
        <v>02406911202</v>
      </c>
      <c r="C1484" s="1" t="s">
        <v>13</v>
      </c>
      <c r="D1484" s="1" t="s">
        <v>1253</v>
      </c>
      <c r="E1484" s="1" t="s">
        <v>3210</v>
      </c>
      <c r="F1484" s="1" t="s">
        <v>49</v>
      </c>
      <c r="G1484" s="1" t="str">
        <f>"02645920592"</f>
        <v>02645920592</v>
      </c>
      <c r="I1484" s="1" t="s">
        <v>2919</v>
      </c>
      <c r="L1484" s="1" t="s">
        <v>44</v>
      </c>
      <c r="M1484" s="1" t="s">
        <v>153</v>
      </c>
      <c r="AG1484" s="1" t="s">
        <v>3211</v>
      </c>
      <c r="AH1484" s="2">
        <v>44993</v>
      </c>
      <c r="AI1484" s="2">
        <v>45291</v>
      </c>
      <c r="AJ1484" s="2">
        <v>44993</v>
      </c>
    </row>
    <row r="1485" spans="1:36">
      <c r="A1485" s="1" t="str">
        <f>"Z293A46667"</f>
        <v>Z293A46667</v>
      </c>
      <c r="B1485" s="1" t="str">
        <f t="shared" si="37"/>
        <v>02406911202</v>
      </c>
      <c r="C1485" s="1" t="s">
        <v>13</v>
      </c>
      <c r="D1485" s="1" t="s">
        <v>1312</v>
      </c>
      <c r="E1485" s="1" t="s">
        <v>3212</v>
      </c>
      <c r="F1485" s="1" t="s">
        <v>49</v>
      </c>
      <c r="G1485" s="1" t="str">
        <f>"02263030393"</f>
        <v>02263030393</v>
      </c>
      <c r="I1485" s="1" t="s">
        <v>3213</v>
      </c>
      <c r="L1485" s="1" t="s">
        <v>44</v>
      </c>
      <c r="M1485" s="1" t="s">
        <v>1735</v>
      </c>
      <c r="AG1485" s="1" t="s">
        <v>3214</v>
      </c>
      <c r="AH1485" s="2">
        <v>44993</v>
      </c>
      <c r="AI1485" s="2">
        <v>45657</v>
      </c>
      <c r="AJ1485" s="2">
        <v>44993</v>
      </c>
    </row>
    <row r="1486" spans="1:36">
      <c r="A1486" s="1" t="str">
        <f>"ZE03A0C43D"</f>
        <v>ZE03A0C43D</v>
      </c>
      <c r="B1486" s="1" t="str">
        <f t="shared" si="37"/>
        <v>02406911202</v>
      </c>
      <c r="C1486" s="1" t="s">
        <v>13</v>
      </c>
      <c r="D1486" s="1" t="s">
        <v>1741</v>
      </c>
      <c r="E1486" s="1" t="s">
        <v>3215</v>
      </c>
      <c r="F1486" s="1" t="s">
        <v>39</v>
      </c>
      <c r="G1486" s="1" t="str">
        <f>"05994810488"</f>
        <v>05994810488</v>
      </c>
      <c r="I1486" s="1" t="s">
        <v>3216</v>
      </c>
      <c r="L1486" s="1" t="s">
        <v>44</v>
      </c>
      <c r="M1486" s="1" t="s">
        <v>3217</v>
      </c>
      <c r="AG1486" s="1" t="s">
        <v>124</v>
      </c>
      <c r="AH1486" s="2">
        <v>44927</v>
      </c>
      <c r="AI1486" s="2">
        <v>45291</v>
      </c>
      <c r="AJ1486" s="2">
        <v>44927</v>
      </c>
    </row>
    <row r="1487" spans="1:36">
      <c r="A1487" s="1" t="str">
        <f>"9676399111"</f>
        <v>9676399111</v>
      </c>
      <c r="B1487" s="1" t="str">
        <f t="shared" si="37"/>
        <v>02406911202</v>
      </c>
      <c r="C1487" s="1" t="s">
        <v>13</v>
      </c>
      <c r="D1487" s="1" t="s">
        <v>1312</v>
      </c>
      <c r="E1487" s="1" t="s">
        <v>3218</v>
      </c>
      <c r="F1487" s="1" t="s">
        <v>49</v>
      </c>
      <c r="G1487" s="1" t="str">
        <f>"12864800151"</f>
        <v>12864800151</v>
      </c>
      <c r="I1487" s="1" t="s">
        <v>1393</v>
      </c>
      <c r="L1487" s="1" t="s">
        <v>44</v>
      </c>
      <c r="M1487" s="1" t="s">
        <v>3219</v>
      </c>
      <c r="AG1487" s="1" t="s">
        <v>2725</v>
      </c>
      <c r="AH1487" s="2">
        <v>44993</v>
      </c>
      <c r="AI1487" s="2">
        <v>45291</v>
      </c>
      <c r="AJ1487" s="2">
        <v>44993</v>
      </c>
    </row>
    <row r="1488" spans="1:36">
      <c r="A1488" s="1" t="str">
        <f>"ZD23994B7E"</f>
        <v>ZD23994B7E</v>
      </c>
      <c r="B1488" s="1" t="str">
        <f t="shared" si="37"/>
        <v>02406911202</v>
      </c>
      <c r="C1488" s="1" t="s">
        <v>13</v>
      </c>
      <c r="D1488" s="1" t="s">
        <v>1312</v>
      </c>
      <c r="E1488" s="1" t="s">
        <v>3220</v>
      </c>
      <c r="F1488" s="1" t="s">
        <v>49</v>
      </c>
      <c r="G1488" s="1" t="str">
        <f>"08082461008"</f>
        <v>08082461008</v>
      </c>
      <c r="I1488" s="1" t="s">
        <v>423</v>
      </c>
      <c r="L1488" s="1" t="s">
        <v>44</v>
      </c>
      <c r="M1488" s="1" t="s">
        <v>1314</v>
      </c>
      <c r="AG1488" s="1" t="s">
        <v>3221</v>
      </c>
      <c r="AH1488" s="2">
        <v>44945</v>
      </c>
      <c r="AI1488" s="2">
        <v>45657</v>
      </c>
      <c r="AJ1488" s="2">
        <v>44945</v>
      </c>
    </row>
    <row r="1489" spans="1:36">
      <c r="A1489" s="1" t="str">
        <f>"96079234E1"</f>
        <v>96079234E1</v>
      </c>
      <c r="B1489" s="1" t="str">
        <f t="shared" si="37"/>
        <v>02406911202</v>
      </c>
      <c r="C1489" s="1" t="s">
        <v>13</v>
      </c>
      <c r="D1489" s="1" t="s">
        <v>37</v>
      </c>
      <c r="E1489" s="1" t="s">
        <v>3222</v>
      </c>
      <c r="F1489" s="1" t="s">
        <v>431</v>
      </c>
      <c r="G1489" s="1" t="str">
        <f>"05424020963"</f>
        <v>05424020963</v>
      </c>
      <c r="I1489" s="1" t="s">
        <v>1995</v>
      </c>
      <c r="L1489" s="1" t="s">
        <v>44</v>
      </c>
      <c r="M1489" s="1" t="s">
        <v>3223</v>
      </c>
      <c r="AG1489" s="1" t="s">
        <v>3224</v>
      </c>
      <c r="AH1489" s="2">
        <v>44947</v>
      </c>
      <c r="AI1489" s="2">
        <v>46407</v>
      </c>
      <c r="AJ1489" s="2">
        <v>44947</v>
      </c>
    </row>
    <row r="1490" spans="1:36">
      <c r="A1490" s="1" t="str">
        <f>"Z6A39A5A81"</f>
        <v>Z6A39A5A81</v>
      </c>
      <c r="B1490" s="1" t="str">
        <f t="shared" si="37"/>
        <v>02406911202</v>
      </c>
      <c r="C1490" s="1" t="s">
        <v>13</v>
      </c>
      <c r="D1490" s="1" t="s">
        <v>1253</v>
      </c>
      <c r="E1490" s="1" t="s">
        <v>1317</v>
      </c>
      <c r="F1490" s="1" t="s">
        <v>49</v>
      </c>
      <c r="G1490" s="1" t="str">
        <f>"04051160234"</f>
        <v>04051160234</v>
      </c>
      <c r="I1490" s="1" t="s">
        <v>2165</v>
      </c>
      <c r="L1490" s="1" t="s">
        <v>44</v>
      </c>
      <c r="M1490" s="1" t="s">
        <v>1255</v>
      </c>
      <c r="AG1490" s="1" t="s">
        <v>3225</v>
      </c>
      <c r="AH1490" s="2">
        <v>44952</v>
      </c>
      <c r="AI1490" s="2">
        <v>45291</v>
      </c>
      <c r="AJ1490" s="2">
        <v>44952</v>
      </c>
    </row>
    <row r="1491" spans="1:36">
      <c r="A1491" s="1" t="str">
        <f>"ZD939AE737"</f>
        <v>ZD939AE737</v>
      </c>
      <c r="B1491" s="1" t="str">
        <f t="shared" si="37"/>
        <v>02406911202</v>
      </c>
      <c r="C1491" s="1" t="s">
        <v>13</v>
      </c>
      <c r="D1491" s="1" t="s">
        <v>1253</v>
      </c>
      <c r="E1491" s="1" t="s">
        <v>1260</v>
      </c>
      <c r="F1491" s="1" t="s">
        <v>49</v>
      </c>
      <c r="G1491" s="1" t="str">
        <f>"04289840268"</f>
        <v>04289840268</v>
      </c>
      <c r="I1491" s="1" t="s">
        <v>1296</v>
      </c>
      <c r="L1491" s="1" t="s">
        <v>44</v>
      </c>
      <c r="M1491" s="1" t="s">
        <v>1255</v>
      </c>
      <c r="AG1491" s="1" t="s">
        <v>3226</v>
      </c>
      <c r="AH1491" s="2">
        <v>44952</v>
      </c>
      <c r="AI1491" s="2">
        <v>45291</v>
      </c>
      <c r="AJ1491" s="2">
        <v>44952</v>
      </c>
    </row>
    <row r="1492" spans="1:36">
      <c r="A1492" s="1" t="str">
        <f>"Z6039C3451"</f>
        <v>Z6039C3451</v>
      </c>
      <c r="B1492" s="1" t="str">
        <f t="shared" si="37"/>
        <v>02406911202</v>
      </c>
      <c r="C1492" s="1" t="s">
        <v>13</v>
      </c>
      <c r="D1492" s="1" t="s">
        <v>1253</v>
      </c>
      <c r="E1492" s="1" t="s">
        <v>3227</v>
      </c>
      <c r="F1492" s="1" t="s">
        <v>49</v>
      </c>
      <c r="G1492" s="1" t="str">
        <f>"02130320035"</f>
        <v>02130320035</v>
      </c>
      <c r="I1492" s="1" t="s">
        <v>3228</v>
      </c>
      <c r="L1492" s="1" t="s">
        <v>44</v>
      </c>
      <c r="M1492" s="1" t="s">
        <v>1255</v>
      </c>
      <c r="AG1492" s="1" t="s">
        <v>3229</v>
      </c>
      <c r="AH1492" s="2">
        <v>44958</v>
      </c>
      <c r="AI1492" s="2">
        <v>45291</v>
      </c>
      <c r="AJ1492" s="2">
        <v>44958</v>
      </c>
    </row>
    <row r="1493" spans="1:36">
      <c r="A1493" s="1" t="str">
        <f>"9643471C02"</f>
        <v>9643471C02</v>
      </c>
      <c r="B1493" s="1" t="str">
        <f t="shared" si="37"/>
        <v>02406911202</v>
      </c>
      <c r="C1493" s="1" t="s">
        <v>13</v>
      </c>
      <c r="D1493" s="1" t="s">
        <v>37</v>
      </c>
      <c r="E1493" s="1" t="s">
        <v>3230</v>
      </c>
      <c r="F1493" s="1" t="s">
        <v>117</v>
      </c>
      <c r="H1493" s="1" t="str">
        <f>"296835640"</f>
        <v>296835640</v>
      </c>
      <c r="I1493" s="1" t="s">
        <v>3231</v>
      </c>
      <c r="L1493" s="1" t="s">
        <v>44</v>
      </c>
      <c r="M1493" s="1" t="s">
        <v>3232</v>
      </c>
      <c r="AG1493" s="1" t="s">
        <v>124</v>
      </c>
      <c r="AH1493" s="2">
        <v>44943</v>
      </c>
      <c r="AI1493" s="2">
        <v>46022</v>
      </c>
      <c r="AJ1493" s="2">
        <v>44943</v>
      </c>
    </row>
    <row r="1494" spans="1:36">
      <c r="A1494" s="1" t="str">
        <f>"Z8839EAAC1"</f>
        <v>Z8839EAAC1</v>
      </c>
      <c r="B1494" s="1" t="str">
        <f t="shared" si="37"/>
        <v>02406911202</v>
      </c>
      <c r="C1494" s="1" t="s">
        <v>13</v>
      </c>
      <c r="D1494" s="1" t="s">
        <v>1253</v>
      </c>
      <c r="E1494" s="1" t="s">
        <v>1317</v>
      </c>
      <c r="F1494" s="1" t="s">
        <v>49</v>
      </c>
      <c r="G1494" s="1" t="str">
        <f>"11570870961"</f>
        <v>11570870961</v>
      </c>
      <c r="I1494" s="1" t="s">
        <v>1597</v>
      </c>
      <c r="L1494" s="1" t="s">
        <v>44</v>
      </c>
      <c r="M1494" s="1" t="s">
        <v>1255</v>
      </c>
      <c r="AG1494" s="1" t="s">
        <v>3233</v>
      </c>
      <c r="AH1494" s="2">
        <v>44974</v>
      </c>
      <c r="AI1494" s="2">
        <v>45291</v>
      </c>
      <c r="AJ1494" s="2">
        <v>44974</v>
      </c>
    </row>
    <row r="1495" spans="1:36">
      <c r="A1495" s="1" t="str">
        <f>"9580818520"</f>
        <v>9580818520</v>
      </c>
      <c r="B1495" s="1" t="str">
        <f t="shared" si="37"/>
        <v>02406911202</v>
      </c>
      <c r="C1495" s="1" t="s">
        <v>13</v>
      </c>
      <c r="D1495" s="1" t="s">
        <v>37</v>
      </c>
      <c r="E1495" s="1" t="s">
        <v>1938</v>
      </c>
      <c r="F1495" s="1" t="s">
        <v>39</v>
      </c>
      <c r="G1495" s="1" t="str">
        <f>"01250400320"</f>
        <v>01250400320</v>
      </c>
      <c r="I1495" s="1" t="s">
        <v>3234</v>
      </c>
      <c r="L1495" s="1" t="s">
        <v>44</v>
      </c>
      <c r="M1495" s="1" t="s">
        <v>3235</v>
      </c>
      <c r="AG1495" s="1" t="s">
        <v>3235</v>
      </c>
      <c r="AH1495" s="2">
        <v>44927</v>
      </c>
      <c r="AI1495" s="2">
        <v>45291</v>
      </c>
      <c r="AJ1495" s="2">
        <v>44927</v>
      </c>
    </row>
    <row r="1496" spans="1:36">
      <c r="A1496" s="1" t="str">
        <f>"96463850BB"</f>
        <v>96463850BB</v>
      </c>
      <c r="B1496" s="1" t="str">
        <f t="shared" si="37"/>
        <v>02406911202</v>
      </c>
      <c r="C1496" s="1" t="s">
        <v>13</v>
      </c>
      <c r="D1496" s="1" t="s">
        <v>37</v>
      </c>
      <c r="E1496" s="1" t="s">
        <v>3236</v>
      </c>
      <c r="F1496" s="1" t="s">
        <v>39</v>
      </c>
      <c r="G1496" s="1" t="str">
        <f>"00667690044"</f>
        <v>00667690044</v>
      </c>
      <c r="I1496" s="1" t="s">
        <v>871</v>
      </c>
      <c r="L1496" s="1" t="s">
        <v>44</v>
      </c>
      <c r="M1496" s="1" t="s">
        <v>3237</v>
      </c>
      <c r="AG1496" s="1" t="s">
        <v>3238</v>
      </c>
      <c r="AH1496" s="2">
        <v>44970</v>
      </c>
      <c r="AI1496" s="2">
        <v>46065</v>
      </c>
      <c r="AJ1496" s="2">
        <v>44970</v>
      </c>
    </row>
    <row r="1497" spans="1:36">
      <c r="A1497" s="1" t="str">
        <f>"Z263A077A2"</f>
        <v>Z263A077A2</v>
      </c>
      <c r="B1497" s="1" t="str">
        <f t="shared" si="37"/>
        <v>02406911202</v>
      </c>
      <c r="C1497" s="1" t="s">
        <v>13</v>
      </c>
      <c r="D1497" s="1" t="s">
        <v>1253</v>
      </c>
      <c r="E1497" s="1" t="s">
        <v>1254</v>
      </c>
      <c r="F1497" s="1" t="s">
        <v>49</v>
      </c>
      <c r="G1497" s="1" t="str">
        <f>"08438570965"</f>
        <v>08438570965</v>
      </c>
      <c r="I1497" s="1" t="s">
        <v>3239</v>
      </c>
      <c r="L1497" s="1" t="s">
        <v>44</v>
      </c>
      <c r="M1497" s="1" t="s">
        <v>1255</v>
      </c>
      <c r="AG1497" s="1" t="s">
        <v>3240</v>
      </c>
      <c r="AH1497" s="2">
        <v>44977</v>
      </c>
      <c r="AI1497" s="2">
        <v>45291</v>
      </c>
      <c r="AJ1497" s="2">
        <v>44977</v>
      </c>
    </row>
    <row r="1498" spans="1:36">
      <c r="A1498" s="1" t="str">
        <f>"Z393A07DBC"</f>
        <v>Z393A07DBC</v>
      </c>
      <c r="B1498" s="1" t="str">
        <f t="shared" si="37"/>
        <v>02406911202</v>
      </c>
      <c r="C1498" s="1" t="s">
        <v>13</v>
      </c>
      <c r="D1498" s="1" t="s">
        <v>205</v>
      </c>
      <c r="E1498" s="1" t="s">
        <v>1686</v>
      </c>
      <c r="F1498" s="1" t="s">
        <v>39</v>
      </c>
      <c r="G1498" s="1" t="str">
        <f>"14996171006"</f>
        <v>14996171006</v>
      </c>
      <c r="I1498" s="1" t="s">
        <v>3241</v>
      </c>
      <c r="L1498" s="1" t="s">
        <v>44</v>
      </c>
      <c r="M1498" s="1" t="s">
        <v>917</v>
      </c>
      <c r="AG1498" s="1" t="s">
        <v>3242</v>
      </c>
      <c r="AH1498" s="2">
        <v>44927</v>
      </c>
      <c r="AI1498" s="2">
        <v>45291</v>
      </c>
      <c r="AJ1498" s="2">
        <v>44927</v>
      </c>
    </row>
    <row r="1499" spans="1:36">
      <c r="A1499" s="1" t="str">
        <f>"ZC93A07E4F"</f>
        <v>ZC93A07E4F</v>
      </c>
      <c r="B1499" s="1" t="str">
        <f t="shared" si="37"/>
        <v>02406911202</v>
      </c>
      <c r="C1499" s="1" t="s">
        <v>13</v>
      </c>
      <c r="D1499" s="1" t="s">
        <v>205</v>
      </c>
      <c r="E1499" s="1" t="s">
        <v>1686</v>
      </c>
      <c r="F1499" s="1" t="s">
        <v>39</v>
      </c>
      <c r="G1499" s="1" t="str">
        <f>"03892691209"</f>
        <v>03892691209</v>
      </c>
      <c r="I1499" s="1" t="s">
        <v>3243</v>
      </c>
      <c r="L1499" s="1" t="s">
        <v>44</v>
      </c>
      <c r="M1499" s="1" t="s">
        <v>917</v>
      </c>
      <c r="AG1499" s="1" t="s">
        <v>3244</v>
      </c>
      <c r="AH1499" s="2">
        <v>44927</v>
      </c>
      <c r="AI1499" s="2">
        <v>45291</v>
      </c>
      <c r="AJ1499" s="2">
        <v>44927</v>
      </c>
    </row>
    <row r="1500" spans="1:36">
      <c r="A1500" s="1" t="str">
        <f>"Z4E3A08074"</f>
        <v>Z4E3A08074</v>
      </c>
      <c r="B1500" s="1" t="str">
        <f t="shared" si="37"/>
        <v>02406911202</v>
      </c>
      <c r="C1500" s="1" t="s">
        <v>13</v>
      </c>
      <c r="D1500" s="1" t="s">
        <v>1312</v>
      </c>
      <c r="E1500" s="1" t="s">
        <v>3245</v>
      </c>
      <c r="F1500" s="1" t="s">
        <v>49</v>
      </c>
      <c r="G1500" s="1" t="str">
        <f>"02048200352"</f>
        <v>02048200352</v>
      </c>
      <c r="I1500" s="1" t="s">
        <v>3246</v>
      </c>
      <c r="L1500" s="1" t="s">
        <v>44</v>
      </c>
      <c r="M1500" s="1" t="s">
        <v>1314</v>
      </c>
      <c r="AG1500" s="1" t="s">
        <v>3247</v>
      </c>
      <c r="AH1500" s="2">
        <v>44977</v>
      </c>
      <c r="AI1500" s="2">
        <v>46387</v>
      </c>
      <c r="AJ1500" s="2">
        <v>44977</v>
      </c>
    </row>
    <row r="1501" spans="1:36">
      <c r="A1501" s="1" t="str">
        <f>"Z4239F65C9"</f>
        <v>Z4239F65C9</v>
      </c>
      <c r="B1501" s="1" t="str">
        <f t="shared" si="37"/>
        <v>02406911202</v>
      </c>
      <c r="C1501" s="1" t="s">
        <v>13</v>
      </c>
      <c r="D1501" s="1" t="s">
        <v>205</v>
      </c>
      <c r="E1501" s="1" t="s">
        <v>1686</v>
      </c>
      <c r="F1501" s="1" t="s">
        <v>39</v>
      </c>
      <c r="G1501" s="1" t="str">
        <f>"00815321203"</f>
        <v>00815321203</v>
      </c>
      <c r="I1501" s="1" t="s">
        <v>3248</v>
      </c>
      <c r="L1501" s="1" t="s">
        <v>44</v>
      </c>
      <c r="M1501" s="1" t="s">
        <v>917</v>
      </c>
      <c r="AG1501" s="1" t="s">
        <v>3249</v>
      </c>
      <c r="AH1501" s="2">
        <v>44927</v>
      </c>
      <c r="AI1501" s="2">
        <v>45291</v>
      </c>
      <c r="AJ1501" s="2">
        <v>44927</v>
      </c>
    </row>
    <row r="1502" spans="1:36">
      <c r="A1502" s="1" t="str">
        <f>"ZD039F65D2"</f>
        <v>ZD039F65D2</v>
      </c>
      <c r="B1502" s="1" t="str">
        <f t="shared" si="37"/>
        <v>02406911202</v>
      </c>
      <c r="C1502" s="1" t="s">
        <v>13</v>
      </c>
      <c r="D1502" s="1" t="s">
        <v>205</v>
      </c>
      <c r="E1502" s="1" t="s">
        <v>1686</v>
      </c>
      <c r="F1502" s="1" t="s">
        <v>39</v>
      </c>
      <c r="G1502" s="1" t="str">
        <f>"04047270360"</f>
        <v>04047270360</v>
      </c>
      <c r="I1502" s="1" t="s">
        <v>3250</v>
      </c>
      <c r="L1502" s="1" t="s">
        <v>44</v>
      </c>
      <c r="M1502" s="1" t="s">
        <v>917</v>
      </c>
      <c r="AG1502" s="1" t="s">
        <v>124</v>
      </c>
      <c r="AH1502" s="2">
        <v>44927</v>
      </c>
      <c r="AI1502" s="2">
        <v>45291</v>
      </c>
      <c r="AJ1502" s="2">
        <v>44927</v>
      </c>
    </row>
    <row r="1503" spans="1:36">
      <c r="A1503" s="1" t="str">
        <f>"Z613A081A7"</f>
        <v>Z613A081A7</v>
      </c>
      <c r="B1503" s="1" t="str">
        <f t="shared" si="37"/>
        <v>02406911202</v>
      </c>
      <c r="C1503" s="1" t="s">
        <v>13</v>
      </c>
      <c r="D1503" s="1" t="s">
        <v>1253</v>
      </c>
      <c r="E1503" s="1" t="s">
        <v>1254</v>
      </c>
      <c r="F1503" s="1" t="s">
        <v>49</v>
      </c>
      <c r="G1503" s="1" t="str">
        <f>"02426070120"</f>
        <v>02426070120</v>
      </c>
      <c r="I1503" s="1" t="s">
        <v>2218</v>
      </c>
      <c r="L1503" s="1" t="s">
        <v>44</v>
      </c>
      <c r="M1503" s="1" t="s">
        <v>1255</v>
      </c>
      <c r="AG1503" s="1" t="s">
        <v>3251</v>
      </c>
      <c r="AH1503" s="2">
        <v>44977</v>
      </c>
      <c r="AI1503" s="2">
        <v>45291</v>
      </c>
      <c r="AJ1503" s="2">
        <v>44977</v>
      </c>
    </row>
    <row r="1504" spans="1:36">
      <c r="A1504" s="1" t="str">
        <f>"ZF53A08158"</f>
        <v>ZF53A08158</v>
      </c>
      <c r="B1504" s="1" t="str">
        <f t="shared" si="37"/>
        <v>02406911202</v>
      </c>
      <c r="C1504" s="1" t="s">
        <v>13</v>
      </c>
      <c r="D1504" s="1" t="s">
        <v>1253</v>
      </c>
      <c r="E1504" s="1" t="s">
        <v>1254</v>
      </c>
      <c r="F1504" s="1" t="s">
        <v>49</v>
      </c>
      <c r="G1504" s="1" t="str">
        <f>"00953780962"</f>
        <v>00953780962</v>
      </c>
      <c r="I1504" s="1" t="s">
        <v>3252</v>
      </c>
      <c r="L1504" s="1" t="s">
        <v>44</v>
      </c>
      <c r="M1504" s="1" t="s">
        <v>1255</v>
      </c>
      <c r="AG1504" s="1" t="s">
        <v>3253</v>
      </c>
      <c r="AH1504" s="2">
        <v>44977</v>
      </c>
      <c r="AI1504" s="2">
        <v>45291</v>
      </c>
      <c r="AJ1504" s="2">
        <v>44977</v>
      </c>
    </row>
    <row r="1505" spans="1:36">
      <c r="A1505" s="1" t="str">
        <f>"Z253A0812B"</f>
        <v>Z253A0812B</v>
      </c>
      <c r="B1505" s="1" t="str">
        <f t="shared" si="37"/>
        <v>02406911202</v>
      </c>
      <c r="C1505" s="1" t="s">
        <v>13</v>
      </c>
      <c r="D1505" s="1" t="s">
        <v>1253</v>
      </c>
      <c r="E1505" s="1" t="s">
        <v>1254</v>
      </c>
      <c r="F1505" s="1" t="s">
        <v>49</v>
      </c>
      <c r="G1505" s="1" t="str">
        <f>"00953780962"</f>
        <v>00953780962</v>
      </c>
      <c r="I1505" s="1" t="s">
        <v>3252</v>
      </c>
      <c r="L1505" s="1" t="s">
        <v>44</v>
      </c>
      <c r="M1505" s="1" t="s">
        <v>1255</v>
      </c>
      <c r="AG1505" s="1" t="s">
        <v>3254</v>
      </c>
      <c r="AH1505" s="2">
        <v>44977</v>
      </c>
      <c r="AI1505" s="2">
        <v>45291</v>
      </c>
      <c r="AJ1505" s="2">
        <v>44977</v>
      </c>
    </row>
    <row r="1506" spans="1:36">
      <c r="A1506" s="1" t="str">
        <f>"Z573A080EB"</f>
        <v>Z573A080EB</v>
      </c>
      <c r="B1506" s="1" t="str">
        <f t="shared" si="37"/>
        <v>02406911202</v>
      </c>
      <c r="C1506" s="1" t="s">
        <v>13</v>
      </c>
      <c r="D1506" s="1" t="s">
        <v>1253</v>
      </c>
      <c r="E1506" s="1" t="s">
        <v>3255</v>
      </c>
      <c r="F1506" s="1" t="s">
        <v>49</v>
      </c>
      <c r="G1506" s="1" t="str">
        <f>"00953780962"</f>
        <v>00953780962</v>
      </c>
      <c r="I1506" s="1" t="s">
        <v>3252</v>
      </c>
      <c r="L1506" s="1" t="s">
        <v>44</v>
      </c>
      <c r="M1506" s="1" t="s">
        <v>1255</v>
      </c>
      <c r="AG1506" s="1" t="s">
        <v>3256</v>
      </c>
      <c r="AH1506" s="2">
        <v>44977</v>
      </c>
      <c r="AI1506" s="2">
        <v>45291</v>
      </c>
      <c r="AJ1506" s="2">
        <v>44977</v>
      </c>
    </row>
    <row r="1507" spans="1:36">
      <c r="A1507" s="1" t="str">
        <f>"Z5D3A09625"</f>
        <v>Z5D3A09625</v>
      </c>
      <c r="B1507" s="1" t="str">
        <f t="shared" si="37"/>
        <v>02406911202</v>
      </c>
      <c r="C1507" s="1" t="s">
        <v>13</v>
      </c>
      <c r="D1507" s="1" t="s">
        <v>1741</v>
      </c>
      <c r="E1507" s="1" t="s">
        <v>3257</v>
      </c>
      <c r="F1507" s="1" t="s">
        <v>49</v>
      </c>
      <c r="G1507" s="1" t="str">
        <f>"02376321200"</f>
        <v>02376321200</v>
      </c>
      <c r="I1507" s="1" t="s">
        <v>1884</v>
      </c>
      <c r="L1507" s="1" t="s">
        <v>44</v>
      </c>
      <c r="M1507" s="1" t="s">
        <v>3258</v>
      </c>
      <c r="AG1507" s="1" t="s">
        <v>3258</v>
      </c>
      <c r="AH1507" s="2">
        <v>44977</v>
      </c>
      <c r="AI1507" s="2">
        <v>45291</v>
      </c>
      <c r="AJ1507" s="2">
        <v>44977</v>
      </c>
    </row>
    <row r="1508" spans="1:36">
      <c r="A1508" s="1" t="str">
        <f>"94365832A4"</f>
        <v>94365832A4</v>
      </c>
      <c r="B1508" s="1" t="str">
        <f t="shared" si="37"/>
        <v>02406911202</v>
      </c>
      <c r="C1508" s="1" t="s">
        <v>13</v>
      </c>
      <c r="D1508" s="1" t="s">
        <v>37</v>
      </c>
      <c r="E1508" s="1" t="s">
        <v>3259</v>
      </c>
      <c r="F1508" s="1" t="s">
        <v>99</v>
      </c>
      <c r="G1508" s="1" t="str">
        <f>"02331420394"</f>
        <v>02331420394</v>
      </c>
      <c r="I1508" s="1" t="s">
        <v>3260</v>
      </c>
      <c r="L1508" s="1" t="s">
        <v>44</v>
      </c>
      <c r="M1508" s="1" t="s">
        <v>3261</v>
      </c>
      <c r="AG1508" s="1" t="s">
        <v>3262</v>
      </c>
      <c r="AH1508" s="2">
        <v>45000</v>
      </c>
      <c r="AI1508" s="2">
        <v>46460</v>
      </c>
      <c r="AJ1508" s="2">
        <v>45000</v>
      </c>
    </row>
    <row r="1509" spans="1:36">
      <c r="A1509" s="1" t="str">
        <f>"Z023A03EDE"</f>
        <v>Z023A03EDE</v>
      </c>
      <c r="B1509" s="1" t="str">
        <f t="shared" si="37"/>
        <v>02406911202</v>
      </c>
      <c r="C1509" s="1" t="s">
        <v>13</v>
      </c>
      <c r="D1509" s="1" t="s">
        <v>1253</v>
      </c>
      <c r="E1509" s="1" t="s">
        <v>1317</v>
      </c>
      <c r="F1509" s="1" t="s">
        <v>49</v>
      </c>
      <c r="G1509" s="1" t="str">
        <f>"00803890151"</f>
        <v>00803890151</v>
      </c>
      <c r="I1509" s="1" t="s">
        <v>68</v>
      </c>
      <c r="L1509" s="1" t="s">
        <v>44</v>
      </c>
      <c r="M1509" s="1" t="s">
        <v>1255</v>
      </c>
      <c r="AG1509" s="1" t="s">
        <v>3263</v>
      </c>
      <c r="AH1509" s="2">
        <v>44979</v>
      </c>
      <c r="AI1509" s="2">
        <v>45291</v>
      </c>
      <c r="AJ1509" s="2">
        <v>44979</v>
      </c>
    </row>
    <row r="1510" spans="1:36">
      <c r="A1510" s="1" t="str">
        <f>"Z8A39DFFB6"</f>
        <v>Z8A39DFFB6</v>
      </c>
      <c r="B1510" s="1" t="str">
        <f t="shared" si="37"/>
        <v>02406911202</v>
      </c>
      <c r="C1510" s="1" t="s">
        <v>13</v>
      </c>
      <c r="D1510" s="1" t="s">
        <v>37</v>
      </c>
      <c r="E1510" s="1" t="s">
        <v>3264</v>
      </c>
      <c r="F1510" s="1" t="s">
        <v>117</v>
      </c>
      <c r="G1510" s="1" t="str">
        <f>"02372680187"</f>
        <v>02372680187</v>
      </c>
      <c r="I1510" s="1" t="s">
        <v>1458</v>
      </c>
      <c r="L1510" s="1" t="s">
        <v>44</v>
      </c>
      <c r="M1510" s="1" t="s">
        <v>3265</v>
      </c>
      <c r="AG1510" s="1" t="s">
        <v>124</v>
      </c>
      <c r="AH1510" s="2">
        <v>44967</v>
      </c>
      <c r="AI1510" s="2">
        <v>45291</v>
      </c>
      <c r="AJ1510" s="2">
        <v>44967</v>
      </c>
    </row>
    <row r="1511" spans="1:36">
      <c r="A1511" s="1" t="str">
        <f>"ZBC39E9674"</f>
        <v>ZBC39E9674</v>
      </c>
      <c r="B1511" s="1" t="str">
        <f t="shared" si="37"/>
        <v>02406911202</v>
      </c>
      <c r="C1511" s="1" t="s">
        <v>13</v>
      </c>
      <c r="D1511" s="1" t="s">
        <v>1253</v>
      </c>
      <c r="E1511" s="1" t="s">
        <v>1260</v>
      </c>
      <c r="F1511" s="1" t="s">
        <v>49</v>
      </c>
      <c r="G1511" s="1" t="str">
        <f>"09270550016"</f>
        <v>09270550016</v>
      </c>
      <c r="I1511" s="1" t="s">
        <v>1328</v>
      </c>
      <c r="L1511" s="1" t="s">
        <v>44</v>
      </c>
      <c r="M1511" s="1" t="s">
        <v>1255</v>
      </c>
      <c r="AG1511" s="1" t="s">
        <v>3266</v>
      </c>
      <c r="AH1511" s="2">
        <v>44967</v>
      </c>
      <c r="AI1511" s="2">
        <v>45291</v>
      </c>
      <c r="AJ1511" s="2">
        <v>44967</v>
      </c>
    </row>
    <row r="1512" spans="1:36">
      <c r="A1512" s="1" t="str">
        <f>"ZA439E96D9"</f>
        <v>ZA439E96D9</v>
      </c>
      <c r="B1512" s="1" t="str">
        <f t="shared" si="37"/>
        <v>02406911202</v>
      </c>
      <c r="C1512" s="1" t="s">
        <v>13</v>
      </c>
      <c r="D1512" s="1" t="s">
        <v>1253</v>
      </c>
      <c r="E1512" s="1" t="s">
        <v>1254</v>
      </c>
      <c r="F1512" s="1" t="s">
        <v>49</v>
      </c>
      <c r="G1512" s="1" t="str">
        <f>"00674840152"</f>
        <v>00674840152</v>
      </c>
      <c r="I1512" s="1" t="s">
        <v>190</v>
      </c>
      <c r="L1512" s="1" t="s">
        <v>44</v>
      </c>
      <c r="M1512" s="1" t="s">
        <v>1255</v>
      </c>
      <c r="AG1512" s="1" t="s">
        <v>3267</v>
      </c>
      <c r="AH1512" s="2">
        <v>44967</v>
      </c>
      <c r="AI1512" s="2">
        <v>45291</v>
      </c>
      <c r="AJ1512" s="2">
        <v>44967</v>
      </c>
    </row>
    <row r="1513" spans="1:36">
      <c r="A1513" s="1" t="str">
        <f>"Z5739F4D0D"</f>
        <v>Z5739F4D0D</v>
      </c>
      <c r="B1513" s="1" t="str">
        <f t="shared" si="37"/>
        <v>02406911202</v>
      </c>
      <c r="C1513" s="1" t="s">
        <v>13</v>
      </c>
      <c r="D1513" s="1" t="s">
        <v>1253</v>
      </c>
      <c r="E1513" s="1" t="s">
        <v>1262</v>
      </c>
      <c r="F1513" s="1" t="s">
        <v>49</v>
      </c>
      <c r="G1513" s="1" t="str">
        <f>"02693090033"</f>
        <v>02693090033</v>
      </c>
      <c r="I1513" s="1" t="s">
        <v>3268</v>
      </c>
      <c r="L1513" s="1" t="s">
        <v>44</v>
      </c>
      <c r="M1513" s="1" t="s">
        <v>1255</v>
      </c>
      <c r="AG1513" s="1" t="s">
        <v>3269</v>
      </c>
      <c r="AH1513" s="2">
        <v>44971</v>
      </c>
      <c r="AI1513" s="2">
        <v>45291</v>
      </c>
      <c r="AJ1513" s="2">
        <v>44971</v>
      </c>
    </row>
    <row r="1514" spans="1:36">
      <c r="A1514" s="1" t="str">
        <f>"Z643A0169C"</f>
        <v>Z643A0169C</v>
      </c>
      <c r="B1514" s="1" t="str">
        <f t="shared" si="37"/>
        <v>02406911202</v>
      </c>
      <c r="C1514" s="1" t="s">
        <v>13</v>
      </c>
      <c r="D1514" s="1" t="s">
        <v>1253</v>
      </c>
      <c r="E1514" s="1" t="s">
        <v>1270</v>
      </c>
      <c r="F1514" s="1" t="s">
        <v>49</v>
      </c>
      <c r="G1514" s="1" t="str">
        <f>"11317290150"</f>
        <v>11317290150</v>
      </c>
      <c r="I1514" s="1" t="s">
        <v>259</v>
      </c>
      <c r="L1514" s="1" t="s">
        <v>44</v>
      </c>
      <c r="M1514" s="1" t="s">
        <v>153</v>
      </c>
      <c r="AG1514" s="1" t="s">
        <v>3270</v>
      </c>
      <c r="AH1514" s="2">
        <v>44974</v>
      </c>
      <c r="AI1514" s="2">
        <v>45291</v>
      </c>
      <c r="AJ1514" s="2">
        <v>44974</v>
      </c>
    </row>
    <row r="1515" spans="1:36">
      <c r="A1515" s="1" t="str">
        <f>"Z8E3A24CE0"</f>
        <v>Z8E3A24CE0</v>
      </c>
      <c r="B1515" s="1" t="str">
        <f t="shared" si="37"/>
        <v>02406911202</v>
      </c>
      <c r="C1515" s="1" t="s">
        <v>13</v>
      </c>
      <c r="D1515" s="1" t="s">
        <v>205</v>
      </c>
      <c r="E1515" s="1" t="s">
        <v>1686</v>
      </c>
      <c r="F1515" s="1" t="s">
        <v>39</v>
      </c>
      <c r="G1515" s="1" t="str">
        <f>"01969190352"</f>
        <v>01969190352</v>
      </c>
      <c r="I1515" s="1" t="s">
        <v>3271</v>
      </c>
      <c r="L1515" s="1" t="s">
        <v>44</v>
      </c>
      <c r="M1515" s="1" t="s">
        <v>917</v>
      </c>
      <c r="AG1515" s="1" t="s">
        <v>3272</v>
      </c>
      <c r="AH1515" s="2">
        <v>44927</v>
      </c>
      <c r="AI1515" s="2">
        <v>45291</v>
      </c>
      <c r="AJ1515" s="2">
        <v>44927</v>
      </c>
    </row>
    <row r="1516" spans="1:36">
      <c r="A1516" s="1" t="str">
        <f>"Z043A67E8D"</f>
        <v>Z043A67E8D</v>
      </c>
      <c r="B1516" s="1" t="str">
        <f t="shared" si="37"/>
        <v>02406911202</v>
      </c>
      <c r="C1516" s="1" t="s">
        <v>13</v>
      </c>
      <c r="D1516" s="1" t="s">
        <v>1257</v>
      </c>
      <c r="E1516" s="1" t="s">
        <v>3273</v>
      </c>
      <c r="F1516" s="1" t="s">
        <v>49</v>
      </c>
      <c r="G1516" s="1" t="str">
        <f>"08086280156"</f>
        <v>08086280156</v>
      </c>
      <c r="I1516" s="1" t="s">
        <v>3274</v>
      </c>
      <c r="L1516" s="1" t="s">
        <v>44</v>
      </c>
      <c r="M1516" s="1" t="s">
        <v>1448</v>
      </c>
      <c r="AG1516" s="1" t="s">
        <v>124</v>
      </c>
      <c r="AH1516" s="2">
        <v>45001</v>
      </c>
      <c r="AI1516" s="2">
        <v>45054</v>
      </c>
      <c r="AJ1516" s="2">
        <v>45001</v>
      </c>
    </row>
    <row r="1517" spans="1:36">
      <c r="A1517" s="1" t="str">
        <f>"Z873A3BCA0"</f>
        <v>Z873A3BCA0</v>
      </c>
      <c r="B1517" s="1" t="str">
        <f t="shared" si="37"/>
        <v>02406911202</v>
      </c>
      <c r="C1517" s="1" t="s">
        <v>13</v>
      </c>
      <c r="D1517" s="1" t="s">
        <v>205</v>
      </c>
      <c r="E1517" s="1" t="s">
        <v>3275</v>
      </c>
      <c r="F1517" s="1" t="s">
        <v>49</v>
      </c>
      <c r="G1517" s="1" t="str">
        <f>"03128791203"</f>
        <v>03128791203</v>
      </c>
      <c r="I1517" s="1" t="s">
        <v>3276</v>
      </c>
      <c r="L1517" s="1" t="s">
        <v>44</v>
      </c>
      <c r="M1517" s="1" t="s">
        <v>3277</v>
      </c>
      <c r="AG1517" s="1" t="s">
        <v>3277</v>
      </c>
      <c r="AH1517" s="2">
        <v>44992</v>
      </c>
      <c r="AI1517" s="2">
        <v>45291</v>
      </c>
      <c r="AJ1517" s="2">
        <v>44992</v>
      </c>
    </row>
    <row r="1518" spans="1:36">
      <c r="A1518" s="1" t="str">
        <f>"Z3C3A4087F"</f>
        <v>Z3C3A4087F</v>
      </c>
      <c r="B1518" s="1" t="str">
        <f t="shared" si="37"/>
        <v>02406911202</v>
      </c>
      <c r="C1518" s="1" t="s">
        <v>13</v>
      </c>
      <c r="D1518" s="1" t="s">
        <v>1257</v>
      </c>
      <c r="E1518" s="1" t="s">
        <v>3278</v>
      </c>
      <c r="F1518" s="1" t="s">
        <v>49</v>
      </c>
      <c r="G1518" s="1" t="str">
        <f>"06167210480"</f>
        <v>06167210480</v>
      </c>
      <c r="I1518" s="1" t="s">
        <v>3279</v>
      </c>
      <c r="L1518" s="1" t="s">
        <v>44</v>
      </c>
      <c r="M1518" s="1" t="s">
        <v>153</v>
      </c>
      <c r="AG1518" s="1" t="s">
        <v>3280</v>
      </c>
      <c r="AH1518" s="2">
        <v>44992</v>
      </c>
      <c r="AI1518" s="2">
        <v>45291</v>
      </c>
      <c r="AJ1518" s="2">
        <v>44992</v>
      </c>
    </row>
    <row r="1519" spans="1:36">
      <c r="A1519" s="1" t="str">
        <f>"Z953A411C7"</f>
        <v>Z953A411C7</v>
      </c>
      <c r="B1519" s="1" t="str">
        <f t="shared" si="37"/>
        <v>02406911202</v>
      </c>
      <c r="C1519" s="1" t="s">
        <v>13</v>
      </c>
      <c r="D1519" s="1" t="s">
        <v>1312</v>
      </c>
      <c r="E1519" s="1" t="s">
        <v>3281</v>
      </c>
      <c r="F1519" s="1" t="s">
        <v>49</v>
      </c>
      <c r="G1519" s="1" t="str">
        <f>"00628161200"</f>
        <v>00628161200</v>
      </c>
      <c r="I1519" s="1" t="s">
        <v>2786</v>
      </c>
      <c r="L1519" s="1" t="s">
        <v>44</v>
      </c>
      <c r="M1519" s="1" t="s">
        <v>1314</v>
      </c>
      <c r="AG1519" s="1" t="s">
        <v>3282</v>
      </c>
      <c r="AH1519" s="2">
        <v>44992</v>
      </c>
      <c r="AI1519" s="2">
        <v>45291</v>
      </c>
      <c r="AJ1519" s="2">
        <v>44992</v>
      </c>
    </row>
    <row r="1520" spans="1:36">
      <c r="A1520" s="1" t="str">
        <f>"ZDE3A29471"</f>
        <v>ZDE3A29471</v>
      </c>
      <c r="B1520" s="1" t="str">
        <f t="shared" si="37"/>
        <v>02406911202</v>
      </c>
      <c r="C1520" s="1" t="s">
        <v>13</v>
      </c>
      <c r="D1520" s="1" t="s">
        <v>1253</v>
      </c>
      <c r="E1520" s="1" t="s">
        <v>1317</v>
      </c>
      <c r="F1520" s="1" t="s">
        <v>49</v>
      </c>
      <c r="G1520" s="1" t="str">
        <f>"01630000287"</f>
        <v>01630000287</v>
      </c>
      <c r="I1520" s="1" t="s">
        <v>1470</v>
      </c>
      <c r="L1520" s="1" t="s">
        <v>44</v>
      </c>
      <c r="M1520" s="1" t="s">
        <v>1255</v>
      </c>
      <c r="AG1520" s="1" t="s">
        <v>3283</v>
      </c>
      <c r="AH1520" s="2">
        <v>44992</v>
      </c>
      <c r="AI1520" s="2">
        <v>45291</v>
      </c>
      <c r="AJ1520" s="2">
        <v>44992</v>
      </c>
    </row>
    <row r="1521" spans="1:36">
      <c r="A1521" s="1" t="str">
        <f>"Z623A0E8DF"</f>
        <v>Z623A0E8DF</v>
      </c>
      <c r="B1521" s="1" t="str">
        <f t="shared" si="37"/>
        <v>02406911202</v>
      </c>
      <c r="C1521" s="1" t="s">
        <v>13</v>
      </c>
      <c r="D1521" s="1" t="s">
        <v>205</v>
      </c>
      <c r="E1521" s="1" t="s">
        <v>1753</v>
      </c>
      <c r="F1521" s="1" t="s">
        <v>39</v>
      </c>
      <c r="G1521" s="1" t="str">
        <f>"06532810964"</f>
        <v>06532810964</v>
      </c>
      <c r="I1521" s="1" t="s">
        <v>3284</v>
      </c>
      <c r="L1521" s="1" t="s">
        <v>44</v>
      </c>
      <c r="M1521" s="1" t="s">
        <v>3285</v>
      </c>
      <c r="AG1521" s="1" t="s">
        <v>3286</v>
      </c>
      <c r="AH1521" s="2">
        <v>44927</v>
      </c>
      <c r="AI1521" s="2">
        <v>45291</v>
      </c>
      <c r="AJ1521" s="2">
        <v>44927</v>
      </c>
    </row>
    <row r="1522" spans="1:36">
      <c r="A1522" s="1" t="str">
        <f>"Z883A4F996"</f>
        <v>Z883A4F996</v>
      </c>
      <c r="B1522" s="1" t="str">
        <f t="shared" si="37"/>
        <v>02406911202</v>
      </c>
      <c r="C1522" s="1" t="s">
        <v>13</v>
      </c>
      <c r="D1522" s="1" t="s">
        <v>1253</v>
      </c>
      <c r="E1522" s="1" t="s">
        <v>1254</v>
      </c>
      <c r="F1522" s="1" t="s">
        <v>49</v>
      </c>
      <c r="G1522" s="1" t="str">
        <f>"03612120166"</f>
        <v>03612120166</v>
      </c>
      <c r="I1522" s="1" t="s">
        <v>3287</v>
      </c>
      <c r="L1522" s="1" t="s">
        <v>44</v>
      </c>
      <c r="M1522" s="1" t="s">
        <v>1255</v>
      </c>
      <c r="AG1522" s="1" t="s">
        <v>3288</v>
      </c>
      <c r="AH1522" s="2">
        <v>44994</v>
      </c>
      <c r="AI1522" s="2">
        <v>45291</v>
      </c>
      <c r="AJ1522" s="2">
        <v>44994</v>
      </c>
    </row>
    <row r="1523" spans="1:36">
      <c r="A1523" s="1" t="str">
        <f>"Z403A4F9CA"</f>
        <v>Z403A4F9CA</v>
      </c>
      <c r="B1523" s="1" t="str">
        <f t="shared" si="37"/>
        <v>02406911202</v>
      </c>
      <c r="C1523" s="1" t="s">
        <v>13</v>
      </c>
      <c r="D1523" s="1" t="s">
        <v>1253</v>
      </c>
      <c r="E1523" s="1" t="s">
        <v>1270</v>
      </c>
      <c r="F1523" s="1" t="s">
        <v>49</v>
      </c>
      <c r="G1523" s="1" t="str">
        <f>"07484470153"</f>
        <v>07484470153</v>
      </c>
      <c r="I1523" s="1" t="s">
        <v>3289</v>
      </c>
      <c r="L1523" s="1" t="s">
        <v>44</v>
      </c>
      <c r="M1523" s="1" t="s">
        <v>1255</v>
      </c>
      <c r="AG1523" s="1" t="s">
        <v>3290</v>
      </c>
      <c r="AH1523" s="2">
        <v>44994</v>
      </c>
      <c r="AI1523" s="2">
        <v>45291</v>
      </c>
      <c r="AJ1523" s="2">
        <v>44994</v>
      </c>
    </row>
    <row r="1524" spans="1:36">
      <c r="A1524" s="1" t="str">
        <f>"Z4F3A5155D"</f>
        <v>Z4F3A5155D</v>
      </c>
      <c r="B1524" s="1" t="str">
        <f t="shared" si="37"/>
        <v>02406911202</v>
      </c>
      <c r="C1524" s="1" t="s">
        <v>13</v>
      </c>
      <c r="D1524" s="1" t="s">
        <v>1253</v>
      </c>
      <c r="E1524" s="1" t="s">
        <v>1260</v>
      </c>
      <c r="F1524" s="1" t="s">
        <v>49</v>
      </c>
      <c r="G1524" s="1" t="str">
        <f>"01681100150"</f>
        <v>01681100150</v>
      </c>
      <c r="I1524" s="1" t="s">
        <v>92</v>
      </c>
      <c r="L1524" s="1" t="s">
        <v>44</v>
      </c>
      <c r="M1524" s="1" t="s">
        <v>1255</v>
      </c>
      <c r="AG1524" s="1" t="s">
        <v>3291</v>
      </c>
      <c r="AH1524" s="2">
        <v>44995</v>
      </c>
      <c r="AI1524" s="2">
        <v>45291</v>
      </c>
      <c r="AJ1524" s="2">
        <v>44995</v>
      </c>
    </row>
    <row r="1525" spans="1:36">
      <c r="A1525" s="1" t="str">
        <f>"ZEF3A52313"</f>
        <v>ZEF3A52313</v>
      </c>
      <c r="B1525" s="1" t="str">
        <f t="shared" si="37"/>
        <v>02406911202</v>
      </c>
      <c r="C1525" s="1" t="s">
        <v>13</v>
      </c>
      <c r="D1525" s="1" t="s">
        <v>1312</v>
      </c>
      <c r="E1525" s="1" t="s">
        <v>3292</v>
      </c>
      <c r="F1525" s="1" t="s">
        <v>49</v>
      </c>
      <c r="G1525" s="1" t="str">
        <f>"04888840487"</f>
        <v>04888840487</v>
      </c>
      <c r="I1525" s="1" t="s">
        <v>3293</v>
      </c>
      <c r="L1525" s="1" t="s">
        <v>44</v>
      </c>
      <c r="M1525" s="1" t="s">
        <v>1314</v>
      </c>
      <c r="AG1525" s="1" t="s">
        <v>3294</v>
      </c>
      <c r="AH1525" s="2">
        <v>44995</v>
      </c>
      <c r="AI1525" s="2">
        <v>46022</v>
      </c>
      <c r="AJ1525" s="2">
        <v>44995</v>
      </c>
    </row>
    <row r="1526" spans="1:36">
      <c r="A1526" s="1" t="str">
        <f>"ZDE3A3DEDC"</f>
        <v>ZDE3A3DEDC</v>
      </c>
      <c r="B1526" s="1" t="str">
        <f t="shared" si="37"/>
        <v>02406911202</v>
      </c>
      <c r="C1526" s="1" t="s">
        <v>13</v>
      </c>
      <c r="D1526" s="1" t="s">
        <v>1312</v>
      </c>
      <c r="E1526" s="1" t="s">
        <v>3295</v>
      </c>
      <c r="F1526" s="1" t="s">
        <v>49</v>
      </c>
      <c r="G1526" s="1" t="str">
        <f>"12086540155"</f>
        <v>12086540155</v>
      </c>
      <c r="I1526" s="1" t="s">
        <v>3296</v>
      </c>
      <c r="L1526" s="1" t="s">
        <v>44</v>
      </c>
      <c r="M1526" s="1" t="s">
        <v>3297</v>
      </c>
      <c r="AG1526" s="1" t="s">
        <v>3298</v>
      </c>
      <c r="AH1526" s="2">
        <v>44991</v>
      </c>
      <c r="AI1526" s="2">
        <v>45291</v>
      </c>
      <c r="AJ1526" s="2">
        <v>44991</v>
      </c>
    </row>
    <row r="1527" spans="1:36">
      <c r="A1527" s="1" t="str">
        <f>"Z8B3A3DE0F"</f>
        <v>Z8B3A3DE0F</v>
      </c>
      <c r="B1527" s="1" t="str">
        <f t="shared" si="37"/>
        <v>02406911202</v>
      </c>
      <c r="C1527" s="1" t="s">
        <v>13</v>
      </c>
      <c r="D1527" s="1" t="s">
        <v>1312</v>
      </c>
      <c r="E1527" s="1" t="s">
        <v>3299</v>
      </c>
      <c r="F1527" s="1" t="s">
        <v>49</v>
      </c>
      <c r="G1527" s="1" t="str">
        <f>"12741650159"</f>
        <v>12741650159</v>
      </c>
      <c r="I1527" s="1" t="s">
        <v>3300</v>
      </c>
      <c r="L1527" s="1" t="s">
        <v>44</v>
      </c>
      <c r="M1527" s="1" t="s">
        <v>3301</v>
      </c>
      <c r="AG1527" s="1" t="s">
        <v>124</v>
      </c>
      <c r="AH1527" s="2">
        <v>44991</v>
      </c>
      <c r="AI1527" s="2">
        <v>45291</v>
      </c>
      <c r="AJ1527" s="2">
        <v>44991</v>
      </c>
    </row>
    <row r="1528" spans="1:36">
      <c r="A1528" s="1" t="str">
        <f>"Z363A3DFA9"</f>
        <v>Z363A3DFA9</v>
      </c>
      <c r="B1528" s="1" t="str">
        <f t="shared" si="37"/>
        <v>02406911202</v>
      </c>
      <c r="C1528" s="1" t="s">
        <v>13</v>
      </c>
      <c r="D1528" s="1" t="s">
        <v>1312</v>
      </c>
      <c r="E1528" s="1" t="s">
        <v>3302</v>
      </c>
      <c r="F1528" s="1" t="s">
        <v>49</v>
      </c>
      <c r="G1528" s="1" t="str">
        <f>"06979891006"</f>
        <v>06979891006</v>
      </c>
      <c r="I1528" s="1" t="s">
        <v>3303</v>
      </c>
      <c r="L1528" s="1" t="s">
        <v>44</v>
      </c>
      <c r="M1528" s="1" t="s">
        <v>2163</v>
      </c>
      <c r="AG1528" s="1" t="s">
        <v>124</v>
      </c>
      <c r="AH1528" s="2">
        <v>44991</v>
      </c>
      <c r="AI1528" s="2">
        <v>45291</v>
      </c>
      <c r="AJ1528" s="2">
        <v>44991</v>
      </c>
    </row>
    <row r="1529" spans="1:36">
      <c r="A1529" s="1" t="str">
        <f>"ZD13A12EFD"</f>
        <v>ZD13A12EFD</v>
      </c>
      <c r="B1529" s="1" t="str">
        <f t="shared" si="37"/>
        <v>02406911202</v>
      </c>
      <c r="C1529" s="1" t="s">
        <v>13</v>
      </c>
      <c r="D1529" s="1" t="s">
        <v>1257</v>
      </c>
      <c r="E1529" s="1" t="s">
        <v>3304</v>
      </c>
      <c r="F1529" s="1" t="s">
        <v>49</v>
      </c>
      <c r="G1529" s="1" t="str">
        <f>"01498810280"</f>
        <v>01498810280</v>
      </c>
      <c r="I1529" s="1" t="s">
        <v>1487</v>
      </c>
      <c r="L1529" s="1" t="s">
        <v>44</v>
      </c>
      <c r="M1529" s="1" t="s">
        <v>1858</v>
      </c>
      <c r="AG1529" s="1" t="s">
        <v>124</v>
      </c>
      <c r="AH1529" s="2">
        <v>44979</v>
      </c>
      <c r="AI1529" s="2">
        <v>44998</v>
      </c>
      <c r="AJ1529" s="2">
        <v>44979</v>
      </c>
    </row>
    <row r="1530" spans="1:36">
      <c r="A1530" s="1" t="str">
        <f>"ZB53A5A392"</f>
        <v>ZB53A5A392</v>
      </c>
      <c r="B1530" s="1" t="str">
        <f t="shared" si="37"/>
        <v>02406911202</v>
      </c>
      <c r="C1530" s="1" t="s">
        <v>13</v>
      </c>
      <c r="D1530" s="1" t="s">
        <v>1257</v>
      </c>
      <c r="E1530" s="1" t="s">
        <v>3305</v>
      </c>
      <c r="F1530" s="1" t="s">
        <v>49</v>
      </c>
      <c r="G1530" s="1" t="str">
        <f>"00294890355"</f>
        <v>00294890355</v>
      </c>
      <c r="I1530" s="1" t="s">
        <v>3306</v>
      </c>
      <c r="L1530" s="1" t="s">
        <v>44</v>
      </c>
      <c r="M1530" s="1" t="s">
        <v>153</v>
      </c>
      <c r="AG1530" s="1" t="s">
        <v>208</v>
      </c>
      <c r="AH1530" s="2">
        <v>44999</v>
      </c>
      <c r="AI1530" s="2">
        <v>45291</v>
      </c>
      <c r="AJ1530" s="2">
        <v>44999</v>
      </c>
    </row>
    <row r="1531" spans="1:36">
      <c r="A1531" s="1" t="str">
        <f>"ZE83A5F011"</f>
        <v>ZE83A5F011</v>
      </c>
      <c r="B1531" s="1" t="str">
        <f t="shared" si="37"/>
        <v>02406911202</v>
      </c>
      <c r="C1531" s="1" t="s">
        <v>13</v>
      </c>
      <c r="D1531" s="1" t="s">
        <v>1253</v>
      </c>
      <c r="E1531" s="1" t="s">
        <v>1254</v>
      </c>
      <c r="F1531" s="1" t="s">
        <v>49</v>
      </c>
      <c r="G1531" s="1" t="str">
        <f>"03091530216"</f>
        <v>03091530216</v>
      </c>
      <c r="I1531" s="1" t="s">
        <v>1601</v>
      </c>
      <c r="L1531" s="1" t="s">
        <v>44</v>
      </c>
      <c r="M1531" s="1" t="s">
        <v>1255</v>
      </c>
      <c r="AG1531" s="1" t="s">
        <v>3307</v>
      </c>
      <c r="AH1531" s="2">
        <v>45000</v>
      </c>
      <c r="AI1531" s="2">
        <v>45291</v>
      </c>
      <c r="AJ1531" s="2">
        <v>45000</v>
      </c>
    </row>
    <row r="1532" spans="1:36">
      <c r="A1532" s="1" t="str">
        <f>"Z0B399C948"</f>
        <v>Z0B399C948</v>
      </c>
      <c r="B1532" s="1" t="str">
        <f t="shared" si="37"/>
        <v>02406911202</v>
      </c>
      <c r="C1532" s="1" t="s">
        <v>13</v>
      </c>
      <c r="D1532" s="1" t="s">
        <v>1253</v>
      </c>
      <c r="E1532" s="1" t="s">
        <v>1262</v>
      </c>
      <c r="F1532" s="1" t="s">
        <v>49</v>
      </c>
      <c r="G1532" s="1" t="str">
        <f>"02457060032"</f>
        <v>02457060032</v>
      </c>
      <c r="I1532" s="1" t="s">
        <v>1263</v>
      </c>
      <c r="L1532" s="1" t="s">
        <v>44</v>
      </c>
      <c r="M1532" s="1" t="s">
        <v>1255</v>
      </c>
      <c r="AG1532" s="1" t="s">
        <v>3308</v>
      </c>
      <c r="AH1532" s="2">
        <v>44949</v>
      </c>
      <c r="AI1532" s="2">
        <v>45291</v>
      </c>
      <c r="AJ1532" s="2">
        <v>44949</v>
      </c>
    </row>
    <row r="1533" spans="1:36">
      <c r="A1533" s="1" t="str">
        <f>"Z39399CAE5"</f>
        <v>Z39399CAE5</v>
      </c>
      <c r="B1533" s="1" t="str">
        <f t="shared" si="37"/>
        <v>02406911202</v>
      </c>
      <c r="C1533" s="1" t="s">
        <v>13</v>
      </c>
      <c r="D1533" s="1" t="s">
        <v>1253</v>
      </c>
      <c r="E1533" s="1" t="s">
        <v>1254</v>
      </c>
      <c r="F1533" s="1" t="s">
        <v>49</v>
      </c>
      <c r="G1533" s="1" t="str">
        <f>"06209390969"</f>
        <v>06209390969</v>
      </c>
      <c r="I1533" s="1" t="s">
        <v>725</v>
      </c>
      <c r="L1533" s="1" t="s">
        <v>44</v>
      </c>
      <c r="M1533" s="1" t="s">
        <v>1255</v>
      </c>
      <c r="AG1533" s="1" t="s">
        <v>3309</v>
      </c>
      <c r="AH1533" s="2">
        <v>44949</v>
      </c>
      <c r="AI1533" s="2">
        <v>45291</v>
      </c>
      <c r="AJ1533" s="2">
        <v>44949</v>
      </c>
    </row>
    <row r="1534" spans="1:36">
      <c r="A1534" s="1" t="str">
        <f>"Z1439B87DC"</f>
        <v>Z1439B87DC</v>
      </c>
      <c r="B1534" s="1" t="str">
        <f t="shared" si="37"/>
        <v>02406911202</v>
      </c>
      <c r="C1534" s="1" t="s">
        <v>13</v>
      </c>
      <c r="D1534" s="1" t="s">
        <v>37</v>
      </c>
      <c r="E1534" s="1" t="s">
        <v>3310</v>
      </c>
      <c r="F1534" s="1" t="s">
        <v>117</v>
      </c>
      <c r="G1534" s="1" t="str">
        <f>"02452050608"</f>
        <v>02452050608</v>
      </c>
      <c r="I1534" s="1" t="s">
        <v>3311</v>
      </c>
      <c r="L1534" s="1" t="s">
        <v>44</v>
      </c>
      <c r="M1534" s="1" t="s">
        <v>3312</v>
      </c>
      <c r="AG1534" s="1" t="s">
        <v>124</v>
      </c>
      <c r="AH1534" s="2">
        <v>44943</v>
      </c>
      <c r="AI1534" s="2">
        <v>46022</v>
      </c>
      <c r="AJ1534" s="2">
        <v>44943</v>
      </c>
    </row>
    <row r="1535" spans="1:36">
      <c r="A1535" s="1" t="str">
        <f>"Z5239BB115"</f>
        <v>Z5239BB115</v>
      </c>
      <c r="B1535" s="1" t="str">
        <f t="shared" si="37"/>
        <v>02406911202</v>
      </c>
      <c r="C1535" s="1" t="s">
        <v>13</v>
      </c>
      <c r="D1535" s="1" t="s">
        <v>1253</v>
      </c>
      <c r="E1535" s="1" t="s">
        <v>1260</v>
      </c>
      <c r="F1535" s="1" t="s">
        <v>49</v>
      </c>
      <c r="G1535" s="1" t="str">
        <f>"01535310427"</f>
        <v>01535310427</v>
      </c>
      <c r="I1535" s="1" t="s">
        <v>3313</v>
      </c>
      <c r="L1535" s="1" t="s">
        <v>44</v>
      </c>
      <c r="M1535" s="1" t="s">
        <v>1255</v>
      </c>
      <c r="AG1535" s="1" t="s">
        <v>3314</v>
      </c>
      <c r="AH1535" s="2">
        <v>44957</v>
      </c>
      <c r="AI1535" s="2">
        <v>45291</v>
      </c>
      <c r="AJ1535" s="2">
        <v>44957</v>
      </c>
    </row>
    <row r="1536" spans="1:36">
      <c r="A1536" s="1" t="str">
        <f>"Z1139B2ECF"</f>
        <v>Z1139B2ECF</v>
      </c>
      <c r="B1536" s="1" t="str">
        <f t="shared" si="37"/>
        <v>02406911202</v>
      </c>
      <c r="C1536" s="1" t="s">
        <v>13</v>
      </c>
      <c r="D1536" s="1" t="s">
        <v>37</v>
      </c>
      <c r="E1536" s="1" t="s">
        <v>3315</v>
      </c>
      <c r="F1536" s="1" t="s">
        <v>117</v>
      </c>
      <c r="G1536" s="1" t="str">
        <f>"03841180106"</f>
        <v>03841180106</v>
      </c>
      <c r="I1536" s="1" t="s">
        <v>3316</v>
      </c>
      <c r="L1536" s="1" t="s">
        <v>44</v>
      </c>
      <c r="M1536" s="1" t="s">
        <v>3317</v>
      </c>
      <c r="AG1536" s="1" t="s">
        <v>124</v>
      </c>
      <c r="AH1536" s="2">
        <v>44943</v>
      </c>
      <c r="AI1536" s="2">
        <v>46022</v>
      </c>
      <c r="AJ1536" s="2">
        <v>44943</v>
      </c>
    </row>
    <row r="1537" spans="1:36">
      <c r="A1537" s="1" t="str">
        <f>"96262286A4"</f>
        <v>96262286A4</v>
      </c>
      <c r="B1537" s="1" t="str">
        <f t="shared" si="37"/>
        <v>02406911202</v>
      </c>
      <c r="C1537" s="1" t="s">
        <v>13</v>
      </c>
      <c r="D1537" s="1" t="s">
        <v>37</v>
      </c>
      <c r="E1537" s="1" t="s">
        <v>3318</v>
      </c>
      <c r="F1537" s="1" t="s">
        <v>117</v>
      </c>
      <c r="G1537" s="1" t="str">
        <f>"03524050238"</f>
        <v>03524050238</v>
      </c>
      <c r="I1537" s="1" t="s">
        <v>593</v>
      </c>
      <c r="L1537" s="1" t="s">
        <v>44</v>
      </c>
      <c r="M1537" s="1" t="s">
        <v>3319</v>
      </c>
      <c r="AG1537" s="1" t="s">
        <v>3320</v>
      </c>
      <c r="AH1537" s="2">
        <v>44943</v>
      </c>
      <c r="AI1537" s="2">
        <v>46022</v>
      </c>
      <c r="AJ1537" s="2">
        <v>44943</v>
      </c>
    </row>
    <row r="1538" spans="1:36">
      <c r="A1538" s="1" t="str">
        <f>"9626175AE6"</f>
        <v>9626175AE6</v>
      </c>
      <c r="B1538" s="1" t="str">
        <f t="shared" si="37"/>
        <v>02406911202</v>
      </c>
      <c r="C1538" s="1" t="s">
        <v>13</v>
      </c>
      <c r="D1538" s="1" t="s">
        <v>37</v>
      </c>
      <c r="E1538" s="1" t="s">
        <v>3321</v>
      </c>
      <c r="F1538" s="1" t="s">
        <v>117</v>
      </c>
      <c r="G1538" s="1" t="str">
        <f>"02689300123"</f>
        <v>02689300123</v>
      </c>
      <c r="I1538" s="1" t="s">
        <v>2055</v>
      </c>
      <c r="L1538" s="1" t="s">
        <v>44</v>
      </c>
      <c r="M1538" s="1" t="s">
        <v>3322</v>
      </c>
      <c r="AG1538" s="1" t="s">
        <v>3323</v>
      </c>
      <c r="AH1538" s="2">
        <v>44943</v>
      </c>
      <c r="AI1538" s="2">
        <v>46022</v>
      </c>
      <c r="AJ1538" s="2">
        <v>44943</v>
      </c>
    </row>
    <row r="1539" spans="1:36">
      <c r="A1539" s="1" t="str">
        <f>"Z0739C2B09"</f>
        <v>Z0739C2B09</v>
      </c>
      <c r="B1539" s="1" t="str">
        <f t="shared" si="37"/>
        <v>02406911202</v>
      </c>
      <c r="C1539" s="1" t="s">
        <v>13</v>
      </c>
      <c r="D1539" s="1" t="s">
        <v>205</v>
      </c>
      <c r="E1539" s="1" t="s">
        <v>1753</v>
      </c>
      <c r="F1539" s="1" t="s">
        <v>39</v>
      </c>
      <c r="G1539" s="1" t="str">
        <f>"02378901207"</f>
        <v>02378901207</v>
      </c>
      <c r="I1539" s="1" t="s">
        <v>3324</v>
      </c>
      <c r="L1539" s="1" t="s">
        <v>44</v>
      </c>
      <c r="M1539" s="1" t="s">
        <v>3325</v>
      </c>
      <c r="AG1539" s="1" t="s">
        <v>3326</v>
      </c>
      <c r="AH1539" s="2">
        <v>44927</v>
      </c>
      <c r="AI1539" s="2">
        <v>45291</v>
      </c>
      <c r="AJ1539" s="2">
        <v>44927</v>
      </c>
    </row>
    <row r="1540" spans="1:36">
      <c r="A1540" s="1" t="str">
        <f>"ZB339C2B50"</f>
        <v>ZB339C2B50</v>
      </c>
      <c r="B1540" s="1" t="str">
        <f t="shared" si="37"/>
        <v>02406911202</v>
      </c>
      <c r="C1540" s="1" t="s">
        <v>13</v>
      </c>
      <c r="D1540" s="1" t="s">
        <v>205</v>
      </c>
      <c r="E1540" s="1" t="s">
        <v>1753</v>
      </c>
      <c r="F1540" s="1" t="s">
        <v>39</v>
      </c>
      <c r="G1540" s="1" t="str">
        <f>"00503971202"</f>
        <v>00503971202</v>
      </c>
      <c r="I1540" s="1" t="s">
        <v>3327</v>
      </c>
      <c r="L1540" s="1" t="s">
        <v>44</v>
      </c>
      <c r="M1540" s="1" t="s">
        <v>3328</v>
      </c>
      <c r="AG1540" s="1" t="s">
        <v>3329</v>
      </c>
      <c r="AH1540" s="2">
        <v>44927</v>
      </c>
      <c r="AI1540" s="2">
        <v>45291</v>
      </c>
      <c r="AJ1540" s="2">
        <v>44927</v>
      </c>
    </row>
    <row r="1541" spans="1:36">
      <c r="A1541" s="1" t="str">
        <f>"Z8C39C2B96"</f>
        <v>Z8C39C2B96</v>
      </c>
      <c r="B1541" s="1" t="str">
        <f t="shared" si="37"/>
        <v>02406911202</v>
      </c>
      <c r="C1541" s="1" t="s">
        <v>13</v>
      </c>
      <c r="D1541" s="1" t="s">
        <v>205</v>
      </c>
      <c r="E1541" s="1" t="s">
        <v>1753</v>
      </c>
      <c r="F1541" s="1" t="s">
        <v>39</v>
      </c>
      <c r="G1541" s="1" t="str">
        <f>"03831150366"</f>
        <v>03831150366</v>
      </c>
      <c r="I1541" s="1" t="s">
        <v>1774</v>
      </c>
      <c r="L1541" s="1" t="s">
        <v>44</v>
      </c>
      <c r="M1541" s="1" t="s">
        <v>3330</v>
      </c>
      <c r="AG1541" s="1" t="s">
        <v>3331</v>
      </c>
      <c r="AH1541" s="2">
        <v>44927</v>
      </c>
      <c r="AI1541" s="2">
        <v>45291</v>
      </c>
      <c r="AJ1541" s="2">
        <v>44927</v>
      </c>
    </row>
    <row r="1542" spans="1:36">
      <c r="A1542" s="1" t="str">
        <f>"Z5339C2BE9"</f>
        <v>Z5339C2BE9</v>
      </c>
      <c r="B1542" s="1" t="str">
        <f t="shared" ref="B1542:B1605" si="38">"02406911202"</f>
        <v>02406911202</v>
      </c>
      <c r="C1542" s="1" t="s">
        <v>13</v>
      </c>
      <c r="D1542" s="1" t="s">
        <v>205</v>
      </c>
      <c r="E1542" s="1" t="s">
        <v>1753</v>
      </c>
      <c r="F1542" s="1" t="s">
        <v>39</v>
      </c>
      <c r="G1542" s="1" t="str">
        <f>"02383150394"</f>
        <v>02383150394</v>
      </c>
      <c r="I1542" s="1" t="s">
        <v>3332</v>
      </c>
      <c r="L1542" s="1" t="s">
        <v>44</v>
      </c>
      <c r="M1542" s="1" t="s">
        <v>3333</v>
      </c>
      <c r="AG1542" s="1" t="s">
        <v>3334</v>
      </c>
      <c r="AH1542" s="2">
        <v>44927</v>
      </c>
      <c r="AI1542" s="2">
        <v>45291</v>
      </c>
      <c r="AJ1542" s="2">
        <v>44927</v>
      </c>
    </row>
    <row r="1543" spans="1:36">
      <c r="A1543" s="1" t="str">
        <f>"ZF139C2E4C"</f>
        <v>ZF139C2E4C</v>
      </c>
      <c r="B1543" s="1" t="str">
        <f t="shared" si="38"/>
        <v>02406911202</v>
      </c>
      <c r="C1543" s="1" t="s">
        <v>13</v>
      </c>
      <c r="D1543" s="1" t="s">
        <v>205</v>
      </c>
      <c r="E1543" s="1" t="s">
        <v>1686</v>
      </c>
      <c r="F1543" s="1" t="s">
        <v>39</v>
      </c>
      <c r="G1543" s="1" t="str">
        <f>"01431190352"</f>
        <v>01431190352</v>
      </c>
      <c r="I1543" s="1" t="s">
        <v>3335</v>
      </c>
      <c r="L1543" s="1" t="s">
        <v>44</v>
      </c>
      <c r="M1543" s="1" t="s">
        <v>145</v>
      </c>
      <c r="AG1543" s="1" t="s">
        <v>3336</v>
      </c>
      <c r="AH1543" s="2">
        <v>44927</v>
      </c>
      <c r="AI1543" s="2">
        <v>45291</v>
      </c>
      <c r="AJ1543" s="2">
        <v>44927</v>
      </c>
    </row>
    <row r="1544" spans="1:36">
      <c r="A1544" s="1" t="str">
        <f>"ZBA39C3701"</f>
        <v>ZBA39C3701</v>
      </c>
      <c r="B1544" s="1" t="str">
        <f t="shared" si="38"/>
        <v>02406911202</v>
      </c>
      <c r="C1544" s="1" t="s">
        <v>13</v>
      </c>
      <c r="D1544" s="1" t="s">
        <v>205</v>
      </c>
      <c r="E1544" s="1" t="s">
        <v>1686</v>
      </c>
      <c r="F1544" s="1" t="s">
        <v>39</v>
      </c>
      <c r="G1544" s="1" t="str">
        <f>"00178460390"</f>
        <v>00178460390</v>
      </c>
      <c r="I1544" s="1" t="s">
        <v>3337</v>
      </c>
      <c r="L1544" s="1" t="s">
        <v>44</v>
      </c>
      <c r="M1544" s="1" t="s">
        <v>3338</v>
      </c>
      <c r="AG1544" s="1" t="s">
        <v>3339</v>
      </c>
      <c r="AH1544" s="2">
        <v>44927</v>
      </c>
      <c r="AI1544" s="2">
        <v>45291</v>
      </c>
      <c r="AJ1544" s="2">
        <v>44927</v>
      </c>
    </row>
    <row r="1545" spans="1:36">
      <c r="A1545" s="1" t="str">
        <f>"ZF93A1768F"</f>
        <v>ZF93A1768F</v>
      </c>
      <c r="B1545" s="1" t="str">
        <f t="shared" si="38"/>
        <v>02406911202</v>
      </c>
      <c r="C1545" s="1" t="s">
        <v>13</v>
      </c>
      <c r="D1545" s="1" t="s">
        <v>1253</v>
      </c>
      <c r="E1545" s="1" t="s">
        <v>1270</v>
      </c>
      <c r="F1545" s="1" t="s">
        <v>49</v>
      </c>
      <c r="G1545" s="1" t="str">
        <f>"09933630155"</f>
        <v>09933630155</v>
      </c>
      <c r="I1545" s="1" t="s">
        <v>2412</v>
      </c>
      <c r="L1545" s="1" t="s">
        <v>44</v>
      </c>
      <c r="M1545" s="1" t="s">
        <v>153</v>
      </c>
      <c r="AG1545" s="1" t="s">
        <v>3340</v>
      </c>
      <c r="AH1545" s="2">
        <v>44980</v>
      </c>
      <c r="AI1545" s="2">
        <v>45291</v>
      </c>
      <c r="AJ1545" s="2">
        <v>44980</v>
      </c>
    </row>
    <row r="1546" spans="1:36">
      <c r="A1546" s="1" t="str">
        <f>"Z7B3A178E0"</f>
        <v>Z7B3A178E0</v>
      </c>
      <c r="B1546" s="1" t="str">
        <f t="shared" si="38"/>
        <v>02406911202</v>
      </c>
      <c r="C1546" s="1" t="s">
        <v>13</v>
      </c>
      <c r="D1546" s="1" t="s">
        <v>1253</v>
      </c>
      <c r="E1546" s="1" t="s">
        <v>1260</v>
      </c>
      <c r="F1546" s="1" t="s">
        <v>49</v>
      </c>
      <c r="G1546" s="1" t="str">
        <f>"09301330966"</f>
        <v>09301330966</v>
      </c>
      <c r="I1546" s="1" t="s">
        <v>553</v>
      </c>
      <c r="L1546" s="1" t="s">
        <v>44</v>
      </c>
      <c r="M1546" s="1" t="s">
        <v>1255</v>
      </c>
      <c r="AG1546" s="1" t="s">
        <v>3341</v>
      </c>
      <c r="AH1546" s="2">
        <v>44980</v>
      </c>
      <c r="AI1546" s="2">
        <v>45291</v>
      </c>
      <c r="AJ1546" s="2">
        <v>44980</v>
      </c>
    </row>
    <row r="1547" spans="1:36">
      <c r="A1547" s="1" t="str">
        <f>"Z2539F65D0"</f>
        <v>Z2539F65D0</v>
      </c>
      <c r="B1547" s="1" t="str">
        <f t="shared" si="38"/>
        <v>02406911202</v>
      </c>
      <c r="C1547" s="1" t="s">
        <v>13</v>
      </c>
      <c r="D1547" s="1" t="s">
        <v>205</v>
      </c>
      <c r="E1547" s="1" t="s">
        <v>1686</v>
      </c>
      <c r="F1547" s="1" t="s">
        <v>39</v>
      </c>
      <c r="G1547" s="1" t="str">
        <f>"00411190366"</f>
        <v>00411190366</v>
      </c>
      <c r="I1547" s="1" t="s">
        <v>3342</v>
      </c>
      <c r="L1547" s="1" t="s">
        <v>44</v>
      </c>
      <c r="M1547" s="1" t="s">
        <v>917</v>
      </c>
      <c r="AG1547" s="1" t="s">
        <v>3343</v>
      </c>
      <c r="AH1547" s="2">
        <v>44927</v>
      </c>
      <c r="AI1547" s="2">
        <v>45291</v>
      </c>
      <c r="AJ1547" s="2">
        <v>44927</v>
      </c>
    </row>
    <row r="1548" spans="1:36">
      <c r="A1548" s="1" t="str">
        <f>"Z8C3A23CA6"</f>
        <v>Z8C3A23CA6</v>
      </c>
      <c r="B1548" s="1" t="str">
        <f t="shared" si="38"/>
        <v>02406911202</v>
      </c>
      <c r="C1548" s="1" t="s">
        <v>13</v>
      </c>
      <c r="D1548" s="1" t="s">
        <v>1312</v>
      </c>
      <c r="E1548" s="1" t="s">
        <v>3344</v>
      </c>
      <c r="F1548" s="1" t="s">
        <v>49</v>
      </c>
      <c r="G1548" s="1" t="str">
        <f>"00517711206"</f>
        <v>00517711206</v>
      </c>
      <c r="I1548" s="1" t="s">
        <v>2852</v>
      </c>
      <c r="L1548" s="1" t="s">
        <v>44</v>
      </c>
      <c r="M1548" s="1" t="s">
        <v>2853</v>
      </c>
      <c r="AG1548" s="1" t="s">
        <v>2853</v>
      </c>
      <c r="AH1548" s="2">
        <v>44985</v>
      </c>
      <c r="AI1548" s="2">
        <v>45016</v>
      </c>
      <c r="AJ1548" s="2">
        <v>44985</v>
      </c>
    </row>
    <row r="1549" spans="1:36">
      <c r="A1549" s="1" t="str">
        <f>"Z013A27454"</f>
        <v>Z013A27454</v>
      </c>
      <c r="B1549" s="1" t="str">
        <f t="shared" si="38"/>
        <v>02406911202</v>
      </c>
      <c r="C1549" s="1" t="s">
        <v>13</v>
      </c>
      <c r="D1549" s="1" t="s">
        <v>1312</v>
      </c>
      <c r="E1549" s="1" t="s">
        <v>3345</v>
      </c>
      <c r="F1549" s="1" t="s">
        <v>49</v>
      </c>
      <c r="G1549" s="1" t="str">
        <f>"02501461202"</f>
        <v>02501461202</v>
      </c>
      <c r="I1549" s="1" t="s">
        <v>2278</v>
      </c>
      <c r="L1549" s="1" t="s">
        <v>44</v>
      </c>
      <c r="M1549" s="1" t="s">
        <v>1314</v>
      </c>
      <c r="AG1549" s="1" t="s">
        <v>3346</v>
      </c>
      <c r="AH1549" s="2">
        <v>44985</v>
      </c>
      <c r="AI1549" s="2">
        <v>46081</v>
      </c>
      <c r="AJ1549" s="2">
        <v>44985</v>
      </c>
    </row>
    <row r="1550" spans="1:36">
      <c r="A1550" s="1" t="str">
        <f>"Z133A1B516"</f>
        <v>Z133A1B516</v>
      </c>
      <c r="B1550" s="1" t="str">
        <f t="shared" si="38"/>
        <v>02406911202</v>
      </c>
      <c r="C1550" s="1" t="s">
        <v>13</v>
      </c>
      <c r="D1550" s="1" t="s">
        <v>1312</v>
      </c>
      <c r="E1550" s="1" t="s">
        <v>3212</v>
      </c>
      <c r="F1550" s="1" t="s">
        <v>49</v>
      </c>
      <c r="G1550" s="1" t="str">
        <f>"11253570151"</f>
        <v>11253570151</v>
      </c>
      <c r="I1550" s="1" t="s">
        <v>3347</v>
      </c>
      <c r="L1550" s="1" t="s">
        <v>44</v>
      </c>
      <c r="M1550" s="1" t="s">
        <v>1798</v>
      </c>
      <c r="AG1550" s="1" t="s">
        <v>3348</v>
      </c>
      <c r="AH1550" s="2">
        <v>44986</v>
      </c>
      <c r="AI1550" s="2">
        <v>45657</v>
      </c>
      <c r="AJ1550" s="2">
        <v>44986</v>
      </c>
    </row>
    <row r="1551" spans="1:36">
      <c r="A1551" s="1" t="str">
        <f>"Z2D3A2DA64"</f>
        <v>Z2D3A2DA64</v>
      </c>
      <c r="B1551" s="1" t="str">
        <f t="shared" si="38"/>
        <v>02406911202</v>
      </c>
      <c r="C1551" s="1" t="s">
        <v>13</v>
      </c>
      <c r="D1551" s="1" t="s">
        <v>1312</v>
      </c>
      <c r="E1551" s="1" t="s">
        <v>3349</v>
      </c>
      <c r="F1551" s="1" t="s">
        <v>49</v>
      </c>
      <c r="G1551" s="1" t="str">
        <f>"09284460962"</f>
        <v>09284460962</v>
      </c>
      <c r="I1551" s="1" t="s">
        <v>3350</v>
      </c>
      <c r="L1551" s="1" t="s">
        <v>44</v>
      </c>
      <c r="M1551" s="1" t="s">
        <v>1314</v>
      </c>
      <c r="AG1551" s="1" t="s">
        <v>2373</v>
      </c>
      <c r="AH1551" s="2">
        <v>44986</v>
      </c>
      <c r="AI1551" s="2">
        <v>45291</v>
      </c>
      <c r="AJ1551" s="2">
        <v>44986</v>
      </c>
    </row>
    <row r="1552" spans="1:36">
      <c r="A1552" s="1" t="str">
        <f>"9616223641"</f>
        <v>9616223641</v>
      </c>
      <c r="B1552" s="1" t="str">
        <f t="shared" si="38"/>
        <v>02406911202</v>
      </c>
      <c r="C1552" s="1" t="s">
        <v>13</v>
      </c>
      <c r="D1552" s="1" t="s">
        <v>1253</v>
      </c>
      <c r="E1552" s="1" t="s">
        <v>3351</v>
      </c>
      <c r="F1552" s="1" t="s">
        <v>49</v>
      </c>
      <c r="G1552" s="1" t="str">
        <f>"10926940965"</f>
        <v>10926940965</v>
      </c>
      <c r="I1552" s="1" t="s">
        <v>1822</v>
      </c>
      <c r="L1552" s="1" t="s">
        <v>44</v>
      </c>
      <c r="M1552" s="1" t="s">
        <v>946</v>
      </c>
      <c r="AG1552" s="1" t="s">
        <v>3352</v>
      </c>
      <c r="AH1552" s="2">
        <v>44949</v>
      </c>
      <c r="AI1552" s="2">
        <v>45291</v>
      </c>
      <c r="AJ1552" s="2">
        <v>44949</v>
      </c>
    </row>
    <row r="1553" spans="1:36">
      <c r="A1553" s="1" t="str">
        <f>"ZD639AB36C"</f>
        <v>ZD639AB36C</v>
      </c>
      <c r="B1553" s="1" t="str">
        <f t="shared" si="38"/>
        <v>02406911202</v>
      </c>
      <c r="C1553" s="1" t="s">
        <v>13</v>
      </c>
      <c r="D1553" s="1" t="s">
        <v>1257</v>
      </c>
      <c r="E1553" s="1" t="s">
        <v>3353</v>
      </c>
      <c r="F1553" s="1" t="s">
        <v>49</v>
      </c>
      <c r="G1553" s="1" t="str">
        <f>"09284460962"</f>
        <v>09284460962</v>
      </c>
      <c r="I1553" s="1" t="s">
        <v>3350</v>
      </c>
      <c r="L1553" s="1" t="s">
        <v>44</v>
      </c>
      <c r="M1553" s="1" t="s">
        <v>917</v>
      </c>
      <c r="AG1553" s="1" t="s">
        <v>3354</v>
      </c>
      <c r="AH1553" s="2">
        <v>44927</v>
      </c>
      <c r="AI1553" s="2">
        <v>45291</v>
      </c>
      <c r="AJ1553" s="2">
        <v>44927</v>
      </c>
    </row>
    <row r="1554" spans="1:36">
      <c r="A1554" s="1" t="str">
        <f>"Z3239B04B8"</f>
        <v>Z3239B04B8</v>
      </c>
      <c r="B1554" s="1" t="str">
        <f t="shared" si="38"/>
        <v>02406911202</v>
      </c>
      <c r="C1554" s="1" t="s">
        <v>13</v>
      </c>
      <c r="D1554" s="1" t="s">
        <v>1253</v>
      </c>
      <c r="E1554" s="1" t="s">
        <v>1262</v>
      </c>
      <c r="F1554" s="1" t="s">
        <v>49</v>
      </c>
      <c r="G1554" s="1" t="str">
        <f>"11271521004"</f>
        <v>11271521004</v>
      </c>
      <c r="I1554" s="1" t="s">
        <v>3355</v>
      </c>
      <c r="L1554" s="1" t="s">
        <v>44</v>
      </c>
      <c r="M1554" s="1" t="s">
        <v>1255</v>
      </c>
      <c r="AG1554" s="1" t="s">
        <v>3356</v>
      </c>
      <c r="AH1554" s="2">
        <v>44953</v>
      </c>
      <c r="AI1554" s="2">
        <v>45291</v>
      </c>
      <c r="AJ1554" s="2">
        <v>44953</v>
      </c>
    </row>
    <row r="1555" spans="1:36">
      <c r="A1555" s="1" t="str">
        <f>"Z7D39B0553"</f>
        <v>Z7D39B0553</v>
      </c>
      <c r="B1555" s="1" t="str">
        <f t="shared" si="38"/>
        <v>02406911202</v>
      </c>
      <c r="C1555" s="1" t="s">
        <v>13</v>
      </c>
      <c r="D1555" s="1" t="s">
        <v>1253</v>
      </c>
      <c r="E1555" s="1" t="s">
        <v>1254</v>
      </c>
      <c r="F1555" s="1" t="s">
        <v>49</v>
      </c>
      <c r="G1555" s="1" t="str">
        <f>"06068041000"</f>
        <v>06068041000</v>
      </c>
      <c r="I1555" s="1" t="s">
        <v>631</v>
      </c>
      <c r="L1555" s="1" t="s">
        <v>44</v>
      </c>
      <c r="M1555" s="1" t="s">
        <v>1255</v>
      </c>
      <c r="AG1555" s="1" t="s">
        <v>3357</v>
      </c>
      <c r="AH1555" s="2">
        <v>44951</v>
      </c>
      <c r="AI1555" s="2">
        <v>45291</v>
      </c>
      <c r="AJ1555" s="2">
        <v>44951</v>
      </c>
    </row>
    <row r="1556" spans="1:36">
      <c r="A1556" s="1" t="str">
        <f>"ZD539B104C"</f>
        <v>ZD539B104C</v>
      </c>
      <c r="B1556" s="1" t="str">
        <f t="shared" si="38"/>
        <v>02406911202</v>
      </c>
      <c r="C1556" s="1" t="s">
        <v>13</v>
      </c>
      <c r="D1556" s="1" t="s">
        <v>1257</v>
      </c>
      <c r="E1556" s="1" t="s">
        <v>3358</v>
      </c>
      <c r="F1556" s="1" t="s">
        <v>49</v>
      </c>
      <c r="G1556" s="1" t="str">
        <f>"02719270239"</f>
        <v>02719270239</v>
      </c>
      <c r="I1556" s="1" t="s">
        <v>3359</v>
      </c>
      <c r="L1556" s="1" t="s">
        <v>44</v>
      </c>
      <c r="M1556" s="1" t="s">
        <v>946</v>
      </c>
      <c r="AG1556" s="1" t="s">
        <v>3360</v>
      </c>
      <c r="AH1556" s="2">
        <v>44953</v>
      </c>
      <c r="AI1556" s="2">
        <v>45291</v>
      </c>
      <c r="AJ1556" s="2">
        <v>44953</v>
      </c>
    </row>
    <row r="1557" spans="1:36">
      <c r="A1557" s="1" t="str">
        <f>"Z5539B1118"</f>
        <v>Z5539B1118</v>
      </c>
      <c r="B1557" s="1" t="str">
        <f t="shared" si="38"/>
        <v>02406911202</v>
      </c>
      <c r="C1557" s="1" t="s">
        <v>13</v>
      </c>
      <c r="D1557" s="1" t="s">
        <v>1253</v>
      </c>
      <c r="E1557" s="1" t="s">
        <v>1270</v>
      </c>
      <c r="F1557" s="1" t="s">
        <v>49</v>
      </c>
      <c r="G1557" s="1" t="str">
        <f>"12785290151"</f>
        <v>12785290151</v>
      </c>
      <c r="I1557" s="1" t="s">
        <v>1855</v>
      </c>
      <c r="L1557" s="1" t="s">
        <v>44</v>
      </c>
      <c r="M1557" s="1" t="s">
        <v>1255</v>
      </c>
      <c r="AG1557" s="1" t="s">
        <v>3361</v>
      </c>
      <c r="AH1557" s="2">
        <v>44953</v>
      </c>
      <c r="AI1557" s="2">
        <v>45291</v>
      </c>
      <c r="AJ1557" s="2">
        <v>44953</v>
      </c>
    </row>
    <row r="1558" spans="1:36">
      <c r="A1558" s="1" t="str">
        <f>"Z6C39BD290"</f>
        <v>Z6C39BD290</v>
      </c>
      <c r="B1558" s="1" t="str">
        <f t="shared" si="38"/>
        <v>02406911202</v>
      </c>
      <c r="C1558" s="1" t="s">
        <v>13</v>
      </c>
      <c r="D1558" s="1" t="s">
        <v>1253</v>
      </c>
      <c r="E1558" s="1" t="s">
        <v>1270</v>
      </c>
      <c r="F1558" s="1" t="s">
        <v>49</v>
      </c>
      <c r="G1558" s="1" t="str">
        <f>"10778460963"</f>
        <v>10778460963</v>
      </c>
      <c r="I1558" s="1" t="s">
        <v>2669</v>
      </c>
      <c r="L1558" s="1" t="s">
        <v>44</v>
      </c>
      <c r="M1558" s="1" t="s">
        <v>1255</v>
      </c>
      <c r="AG1558" s="1" t="s">
        <v>3362</v>
      </c>
      <c r="AH1558" s="2">
        <v>44957</v>
      </c>
      <c r="AI1558" s="2">
        <v>45291</v>
      </c>
      <c r="AJ1558" s="2">
        <v>44957</v>
      </c>
    </row>
    <row r="1559" spans="1:36">
      <c r="A1559" s="1" t="str">
        <f>"Z1B3A18638"</f>
        <v>Z1B3A18638</v>
      </c>
      <c r="B1559" s="1" t="str">
        <f t="shared" si="38"/>
        <v>02406911202</v>
      </c>
      <c r="C1559" s="1" t="s">
        <v>13</v>
      </c>
      <c r="D1559" s="1" t="s">
        <v>1253</v>
      </c>
      <c r="E1559" s="1" t="s">
        <v>1262</v>
      </c>
      <c r="F1559" s="1" t="s">
        <v>49</v>
      </c>
      <c r="G1559" s="1" t="str">
        <f>"08719751003"</f>
        <v>08719751003</v>
      </c>
      <c r="I1559" s="1" t="s">
        <v>3363</v>
      </c>
      <c r="L1559" s="1" t="s">
        <v>44</v>
      </c>
      <c r="M1559" s="1" t="s">
        <v>153</v>
      </c>
      <c r="AG1559" s="1" t="s">
        <v>3364</v>
      </c>
      <c r="AH1559" s="2">
        <v>44980</v>
      </c>
      <c r="AI1559" s="2">
        <v>45291</v>
      </c>
      <c r="AJ1559" s="2">
        <v>44980</v>
      </c>
    </row>
    <row r="1560" spans="1:36">
      <c r="A1560" s="1" t="str">
        <f>"Z943A67552"</f>
        <v>Z943A67552</v>
      </c>
      <c r="B1560" s="1" t="str">
        <f t="shared" si="38"/>
        <v>02406911202</v>
      </c>
      <c r="C1560" s="1" t="s">
        <v>13</v>
      </c>
      <c r="D1560" s="1" t="s">
        <v>1253</v>
      </c>
      <c r="E1560" s="1" t="s">
        <v>1387</v>
      </c>
      <c r="F1560" s="1" t="s">
        <v>49</v>
      </c>
      <c r="G1560" s="1" t="str">
        <f>"01099110999"</f>
        <v>01099110999</v>
      </c>
      <c r="I1560" s="1" t="s">
        <v>2498</v>
      </c>
      <c r="L1560" s="1" t="s">
        <v>44</v>
      </c>
      <c r="M1560" s="1" t="s">
        <v>1255</v>
      </c>
      <c r="AG1560" s="1" t="s">
        <v>3365</v>
      </c>
      <c r="AH1560" s="2">
        <v>45001</v>
      </c>
      <c r="AI1560" s="2">
        <v>45291</v>
      </c>
      <c r="AJ1560" s="2">
        <v>45001</v>
      </c>
    </row>
    <row r="1561" spans="1:36">
      <c r="A1561" s="1" t="str">
        <f>"Z6E3A68B6F"</f>
        <v>Z6E3A68B6F</v>
      </c>
      <c r="B1561" s="1" t="str">
        <f t="shared" si="38"/>
        <v>02406911202</v>
      </c>
      <c r="C1561" s="1" t="s">
        <v>13</v>
      </c>
      <c r="D1561" s="1" t="s">
        <v>1253</v>
      </c>
      <c r="E1561" s="1" t="s">
        <v>1317</v>
      </c>
      <c r="F1561" s="1" t="s">
        <v>49</v>
      </c>
      <c r="G1561" s="1" t="str">
        <f>"05908740961"</f>
        <v>05908740961</v>
      </c>
      <c r="I1561" s="1" t="s">
        <v>603</v>
      </c>
      <c r="L1561" s="1" t="s">
        <v>44</v>
      </c>
      <c r="M1561" s="1" t="s">
        <v>1255</v>
      </c>
      <c r="AG1561" s="1" t="s">
        <v>3366</v>
      </c>
      <c r="AH1561" s="2">
        <v>45002</v>
      </c>
      <c r="AI1561" s="2">
        <v>45291</v>
      </c>
      <c r="AJ1561" s="2">
        <v>45002</v>
      </c>
    </row>
    <row r="1562" spans="1:36">
      <c r="A1562" s="1" t="str">
        <f>"Z493A69FDB"</f>
        <v>Z493A69FDB</v>
      </c>
      <c r="B1562" s="1" t="str">
        <f t="shared" si="38"/>
        <v>02406911202</v>
      </c>
      <c r="C1562" s="1" t="s">
        <v>13</v>
      </c>
      <c r="D1562" s="1" t="s">
        <v>1253</v>
      </c>
      <c r="E1562" s="1" t="s">
        <v>1254</v>
      </c>
      <c r="F1562" s="1" t="s">
        <v>49</v>
      </c>
      <c r="G1562" s="1" t="str">
        <f>"01736720994"</f>
        <v>01736720994</v>
      </c>
      <c r="I1562" s="1" t="s">
        <v>80</v>
      </c>
      <c r="L1562" s="1" t="s">
        <v>44</v>
      </c>
      <c r="M1562" s="1" t="s">
        <v>1255</v>
      </c>
      <c r="AG1562" s="1" t="s">
        <v>3367</v>
      </c>
      <c r="AH1562" s="2">
        <v>45002</v>
      </c>
      <c r="AI1562" s="2">
        <v>45291</v>
      </c>
      <c r="AJ1562" s="2">
        <v>45002</v>
      </c>
    </row>
    <row r="1563" spans="1:36">
      <c r="A1563" s="1" t="str">
        <f>"ZBC3A6B411"</f>
        <v>ZBC3A6B411</v>
      </c>
      <c r="B1563" s="1" t="str">
        <f t="shared" si="38"/>
        <v>02406911202</v>
      </c>
      <c r="C1563" s="1" t="s">
        <v>13</v>
      </c>
      <c r="D1563" s="1" t="s">
        <v>1253</v>
      </c>
      <c r="E1563" s="1" t="s">
        <v>2170</v>
      </c>
      <c r="F1563" s="1" t="s">
        <v>49</v>
      </c>
      <c r="G1563" s="1" t="str">
        <f>"00887261006"</f>
        <v>00887261006</v>
      </c>
      <c r="I1563" s="1" t="s">
        <v>2041</v>
      </c>
      <c r="L1563" s="1" t="s">
        <v>44</v>
      </c>
      <c r="M1563" s="1" t="s">
        <v>1255</v>
      </c>
      <c r="AG1563" s="1" t="s">
        <v>3368</v>
      </c>
      <c r="AH1563" s="2">
        <v>45002</v>
      </c>
      <c r="AI1563" s="2">
        <v>45291</v>
      </c>
      <c r="AJ1563" s="2">
        <v>45002</v>
      </c>
    </row>
    <row r="1564" spans="1:36">
      <c r="A1564" s="1" t="str">
        <f>"9528411580"</f>
        <v>9528411580</v>
      </c>
      <c r="B1564" s="1" t="str">
        <f t="shared" si="38"/>
        <v>02406911202</v>
      </c>
      <c r="C1564" s="1" t="s">
        <v>13</v>
      </c>
      <c r="D1564" s="1" t="s">
        <v>37</v>
      </c>
      <c r="E1564" s="1" t="s">
        <v>3369</v>
      </c>
      <c r="F1564" s="1" t="s">
        <v>39</v>
      </c>
      <c r="G1564" s="1" t="str">
        <f>"01153330426"</f>
        <v>01153330426</v>
      </c>
      <c r="I1564" s="1" t="s">
        <v>3370</v>
      </c>
      <c r="L1564" s="1" t="s">
        <v>44</v>
      </c>
      <c r="M1564" s="1" t="s">
        <v>3371</v>
      </c>
      <c r="AG1564" s="1" t="s">
        <v>124</v>
      </c>
      <c r="AH1564" s="2">
        <v>45002</v>
      </c>
      <c r="AI1564" s="2">
        <v>45291</v>
      </c>
      <c r="AJ1564" s="2">
        <v>45002</v>
      </c>
    </row>
    <row r="1565" spans="1:36">
      <c r="A1565" s="1" t="str">
        <f>"Z563A6BED0"</f>
        <v>Z563A6BED0</v>
      </c>
      <c r="B1565" s="1" t="str">
        <f t="shared" si="38"/>
        <v>02406911202</v>
      </c>
      <c r="C1565" s="1" t="s">
        <v>13</v>
      </c>
      <c r="D1565" s="1" t="s">
        <v>1312</v>
      </c>
      <c r="E1565" s="1" t="s">
        <v>3372</v>
      </c>
      <c r="F1565" s="1" t="s">
        <v>49</v>
      </c>
      <c r="G1565" s="1" t="str">
        <f>"01461070094"</f>
        <v>01461070094</v>
      </c>
      <c r="I1565" s="1" t="s">
        <v>3373</v>
      </c>
      <c r="L1565" s="1" t="s">
        <v>44</v>
      </c>
      <c r="M1565" s="1" t="s">
        <v>1314</v>
      </c>
      <c r="AG1565" s="1" t="s">
        <v>3374</v>
      </c>
      <c r="AH1565" s="2">
        <v>45002</v>
      </c>
      <c r="AI1565" s="2">
        <v>45657</v>
      </c>
      <c r="AJ1565" s="2">
        <v>45002</v>
      </c>
    </row>
    <row r="1566" spans="1:36">
      <c r="A1566" s="1" t="str">
        <f>"Z8E3989763"</f>
        <v>Z8E3989763</v>
      </c>
      <c r="B1566" s="1" t="str">
        <f t="shared" si="38"/>
        <v>02406911202</v>
      </c>
      <c r="C1566" s="1" t="s">
        <v>13</v>
      </c>
      <c r="D1566" s="1" t="s">
        <v>1253</v>
      </c>
      <c r="E1566" s="1" t="s">
        <v>1387</v>
      </c>
      <c r="F1566" s="1" t="s">
        <v>49</v>
      </c>
      <c r="H1566" s="1" t="str">
        <f>"331567510"</f>
        <v>331567510</v>
      </c>
      <c r="I1566" s="1" t="s">
        <v>1591</v>
      </c>
      <c r="L1566" s="1" t="s">
        <v>44</v>
      </c>
      <c r="M1566" s="1" t="s">
        <v>1255</v>
      </c>
      <c r="AG1566" s="1" t="s">
        <v>1592</v>
      </c>
      <c r="AH1566" s="2">
        <v>44945</v>
      </c>
      <c r="AI1566" s="2">
        <v>45291</v>
      </c>
      <c r="AJ1566" s="2">
        <v>44945</v>
      </c>
    </row>
    <row r="1567" spans="1:36">
      <c r="A1567" s="1" t="str">
        <f>"96365214B2"</f>
        <v>96365214B2</v>
      </c>
      <c r="B1567" s="1" t="str">
        <f t="shared" si="38"/>
        <v>02406911202</v>
      </c>
      <c r="C1567" s="1" t="s">
        <v>13</v>
      </c>
      <c r="D1567" s="1" t="s">
        <v>37</v>
      </c>
      <c r="E1567" s="1" t="s">
        <v>3375</v>
      </c>
      <c r="F1567" s="1" t="s">
        <v>117</v>
      </c>
      <c r="G1567" s="1" t="str">
        <f>"11815361008"</f>
        <v>11815361008</v>
      </c>
      <c r="I1567" s="1" t="s">
        <v>3376</v>
      </c>
      <c r="L1567" s="1" t="s">
        <v>44</v>
      </c>
      <c r="M1567" s="1" t="s">
        <v>3377</v>
      </c>
      <c r="AG1567" s="1" t="s">
        <v>3378</v>
      </c>
      <c r="AH1567" s="2">
        <v>44943</v>
      </c>
      <c r="AI1567" s="2">
        <v>46022</v>
      </c>
      <c r="AJ1567" s="2">
        <v>44943</v>
      </c>
    </row>
    <row r="1568" spans="1:36">
      <c r="A1568" s="1" t="str">
        <f>"963617030B"</f>
        <v>963617030B</v>
      </c>
      <c r="B1568" s="1" t="str">
        <f t="shared" si="38"/>
        <v>02406911202</v>
      </c>
      <c r="C1568" s="1" t="s">
        <v>13</v>
      </c>
      <c r="D1568" s="1" t="s">
        <v>37</v>
      </c>
      <c r="E1568" s="1" t="s">
        <v>3379</v>
      </c>
      <c r="F1568" s="1" t="s">
        <v>117</v>
      </c>
      <c r="G1568" s="1" t="str">
        <f>"00212840235"</f>
        <v>00212840235</v>
      </c>
      <c r="I1568" s="1" t="s">
        <v>3380</v>
      </c>
      <c r="L1568" s="1" t="s">
        <v>44</v>
      </c>
      <c r="M1568" s="1" t="s">
        <v>3381</v>
      </c>
      <c r="AG1568" s="1" t="s">
        <v>3382</v>
      </c>
      <c r="AH1568" s="2">
        <v>44960</v>
      </c>
      <c r="AI1568" s="2">
        <v>45322</v>
      </c>
      <c r="AJ1568" s="2">
        <v>44960</v>
      </c>
    </row>
    <row r="1569" spans="1:36">
      <c r="A1569" s="1" t="str">
        <f>"Z8039D6410"</f>
        <v>Z8039D6410</v>
      </c>
      <c r="B1569" s="1" t="str">
        <f t="shared" si="38"/>
        <v>02406911202</v>
      </c>
      <c r="C1569" s="1" t="s">
        <v>13</v>
      </c>
      <c r="D1569" s="1" t="s">
        <v>1257</v>
      </c>
      <c r="E1569" s="1" t="s">
        <v>3383</v>
      </c>
      <c r="F1569" s="1" t="s">
        <v>49</v>
      </c>
      <c r="G1569" s="1" t="str">
        <f>"01431870094"</f>
        <v>01431870094</v>
      </c>
      <c r="I1569" s="1" t="s">
        <v>3384</v>
      </c>
      <c r="L1569" s="1" t="s">
        <v>44</v>
      </c>
      <c r="M1569" s="1" t="s">
        <v>103</v>
      </c>
      <c r="AG1569" s="1" t="s">
        <v>2163</v>
      </c>
      <c r="AH1569" s="2">
        <v>44964</v>
      </c>
      <c r="AI1569" s="2">
        <v>45291</v>
      </c>
      <c r="AJ1569" s="2">
        <v>44964</v>
      </c>
    </row>
    <row r="1570" spans="1:36">
      <c r="A1570" s="1" t="str">
        <f>"Z4639D2754"</f>
        <v>Z4639D2754</v>
      </c>
      <c r="B1570" s="1" t="str">
        <f t="shared" si="38"/>
        <v>02406911202</v>
      </c>
      <c r="C1570" s="1" t="s">
        <v>13</v>
      </c>
      <c r="D1570" s="1" t="s">
        <v>37</v>
      </c>
      <c r="E1570" s="1" t="s">
        <v>3385</v>
      </c>
      <c r="F1570" s="1" t="s">
        <v>117</v>
      </c>
      <c r="G1570" s="1" t="str">
        <f>"01620460186"</f>
        <v>01620460186</v>
      </c>
      <c r="I1570" s="1" t="s">
        <v>3386</v>
      </c>
      <c r="L1570" s="1" t="s">
        <v>44</v>
      </c>
      <c r="M1570" s="1" t="s">
        <v>3387</v>
      </c>
      <c r="AG1570" s="1" t="s">
        <v>3388</v>
      </c>
      <c r="AH1570" s="2">
        <v>44943</v>
      </c>
      <c r="AI1570" s="2">
        <v>46022</v>
      </c>
      <c r="AJ1570" s="2">
        <v>44943</v>
      </c>
    </row>
    <row r="1571" spans="1:36">
      <c r="A1571" s="1" t="str">
        <f>"ZF139D2851"</f>
        <v>ZF139D2851</v>
      </c>
      <c r="B1571" s="1" t="str">
        <f t="shared" si="38"/>
        <v>02406911202</v>
      </c>
      <c r="C1571" s="1" t="s">
        <v>13</v>
      </c>
      <c r="D1571" s="1" t="s">
        <v>37</v>
      </c>
      <c r="E1571" s="1" t="s">
        <v>3389</v>
      </c>
      <c r="F1571" s="1" t="s">
        <v>117</v>
      </c>
      <c r="G1571" s="1" t="str">
        <f>"13118231003"</f>
        <v>13118231003</v>
      </c>
      <c r="I1571" s="1" t="s">
        <v>3390</v>
      </c>
      <c r="L1571" s="1" t="s">
        <v>44</v>
      </c>
      <c r="M1571" s="1" t="s">
        <v>3391</v>
      </c>
      <c r="AG1571" s="1" t="s">
        <v>3392</v>
      </c>
      <c r="AH1571" s="2">
        <v>44943</v>
      </c>
      <c r="AI1571" s="2">
        <v>46022</v>
      </c>
      <c r="AJ1571" s="2">
        <v>44943</v>
      </c>
    </row>
    <row r="1572" spans="1:36">
      <c r="A1572" s="1" t="str">
        <f>"Z783A04C0B"</f>
        <v>Z783A04C0B</v>
      </c>
      <c r="B1572" s="1" t="str">
        <f t="shared" si="38"/>
        <v>02406911202</v>
      </c>
      <c r="C1572" s="1" t="s">
        <v>13</v>
      </c>
      <c r="D1572" s="1" t="s">
        <v>1312</v>
      </c>
      <c r="E1572" s="1" t="s">
        <v>3393</v>
      </c>
      <c r="F1572" s="1" t="s">
        <v>49</v>
      </c>
      <c r="G1572" s="1" t="str">
        <f>"01620830347"</f>
        <v>01620830347</v>
      </c>
      <c r="I1572" s="1" t="s">
        <v>2149</v>
      </c>
      <c r="L1572" s="1" t="s">
        <v>44</v>
      </c>
      <c r="M1572" s="1" t="s">
        <v>1314</v>
      </c>
      <c r="AG1572" s="1" t="s">
        <v>3394</v>
      </c>
      <c r="AH1572" s="2">
        <v>44974</v>
      </c>
      <c r="AI1572" s="2">
        <v>45107</v>
      </c>
      <c r="AJ1572" s="2">
        <v>44974</v>
      </c>
    </row>
    <row r="1573" spans="1:36">
      <c r="A1573" s="1" t="str">
        <f>"Z433A329DB"</f>
        <v>Z433A329DB</v>
      </c>
      <c r="B1573" s="1" t="str">
        <f t="shared" si="38"/>
        <v>02406911202</v>
      </c>
      <c r="C1573" s="1" t="s">
        <v>13</v>
      </c>
      <c r="D1573" s="1" t="s">
        <v>205</v>
      </c>
      <c r="E1573" s="1" t="s">
        <v>3395</v>
      </c>
      <c r="F1573" s="1" t="s">
        <v>39</v>
      </c>
      <c r="G1573" s="1" t="str">
        <f>"04144000371"</f>
        <v>04144000371</v>
      </c>
      <c r="I1573" s="1" t="s">
        <v>3396</v>
      </c>
      <c r="L1573" s="1" t="s">
        <v>44</v>
      </c>
      <c r="M1573" s="1" t="s">
        <v>3397</v>
      </c>
      <c r="AG1573" s="1" t="s">
        <v>3397</v>
      </c>
      <c r="AH1573" s="2">
        <v>44927</v>
      </c>
      <c r="AI1573" s="2">
        <v>45077</v>
      </c>
      <c r="AJ1573" s="2">
        <v>44927</v>
      </c>
    </row>
    <row r="1574" spans="1:36">
      <c r="A1574" s="1" t="str">
        <f>"Z8C3A3560B"</f>
        <v>Z8C3A3560B</v>
      </c>
      <c r="B1574" s="1" t="str">
        <f t="shared" si="38"/>
        <v>02406911202</v>
      </c>
      <c r="C1574" s="1" t="s">
        <v>13</v>
      </c>
      <c r="D1574" s="1" t="s">
        <v>1253</v>
      </c>
      <c r="E1574" s="1" t="s">
        <v>1260</v>
      </c>
      <c r="F1574" s="1" t="s">
        <v>49</v>
      </c>
      <c r="G1574" s="1" t="str">
        <f>"01975020130"</f>
        <v>01975020130</v>
      </c>
      <c r="I1574" s="1" t="s">
        <v>1737</v>
      </c>
      <c r="L1574" s="1" t="s">
        <v>44</v>
      </c>
      <c r="M1574" s="1" t="s">
        <v>1255</v>
      </c>
      <c r="AG1574" s="1" t="s">
        <v>3398</v>
      </c>
      <c r="AH1574" s="2">
        <v>44988</v>
      </c>
      <c r="AI1574" s="2">
        <v>45291</v>
      </c>
      <c r="AJ1574" s="2">
        <v>44988</v>
      </c>
    </row>
    <row r="1575" spans="1:36">
      <c r="A1575" s="1" t="str">
        <f>"ZB03A355F1"</f>
        <v>ZB03A355F1</v>
      </c>
      <c r="B1575" s="1" t="str">
        <f t="shared" si="38"/>
        <v>02406911202</v>
      </c>
      <c r="C1575" s="1" t="s">
        <v>13</v>
      </c>
      <c r="D1575" s="1" t="s">
        <v>1253</v>
      </c>
      <c r="E1575" s="1" t="s">
        <v>1254</v>
      </c>
      <c r="F1575" s="1" t="s">
        <v>49</v>
      </c>
      <c r="G1575" s="1" t="str">
        <f>"11570870961"</f>
        <v>11570870961</v>
      </c>
      <c r="I1575" s="1" t="s">
        <v>1597</v>
      </c>
      <c r="L1575" s="1" t="s">
        <v>44</v>
      </c>
      <c r="M1575" s="1" t="s">
        <v>1255</v>
      </c>
      <c r="AG1575" s="1" t="s">
        <v>3399</v>
      </c>
      <c r="AH1575" s="2">
        <v>44988</v>
      </c>
      <c r="AI1575" s="2">
        <v>45291</v>
      </c>
      <c r="AJ1575" s="2">
        <v>44988</v>
      </c>
    </row>
    <row r="1576" spans="1:36">
      <c r="A1576" s="1" t="str">
        <f>"Z4D3A355BB"</f>
        <v>Z4D3A355BB</v>
      </c>
      <c r="B1576" s="1" t="str">
        <f t="shared" si="38"/>
        <v>02406911202</v>
      </c>
      <c r="C1576" s="1" t="s">
        <v>13</v>
      </c>
      <c r="D1576" s="1" t="s">
        <v>1253</v>
      </c>
      <c r="E1576" s="1" t="s">
        <v>1254</v>
      </c>
      <c r="F1576" s="1" t="s">
        <v>49</v>
      </c>
      <c r="G1576" s="1" t="str">
        <f>"06032681006"</f>
        <v>06032681006</v>
      </c>
      <c r="I1576" s="1" t="s">
        <v>1351</v>
      </c>
      <c r="L1576" s="1" t="s">
        <v>44</v>
      </c>
      <c r="M1576" s="1" t="s">
        <v>1255</v>
      </c>
      <c r="AG1576" s="1" t="s">
        <v>3400</v>
      </c>
      <c r="AH1576" s="2">
        <v>44988</v>
      </c>
      <c r="AI1576" s="2">
        <v>45291</v>
      </c>
      <c r="AJ1576" s="2">
        <v>44988</v>
      </c>
    </row>
    <row r="1577" spans="1:36">
      <c r="A1577" s="1" t="str">
        <f>"96711537EC"</f>
        <v>96711537EC</v>
      </c>
      <c r="B1577" s="1" t="str">
        <f t="shared" si="38"/>
        <v>02406911202</v>
      </c>
      <c r="C1577" s="1" t="s">
        <v>13</v>
      </c>
      <c r="D1577" s="1" t="s">
        <v>37</v>
      </c>
      <c r="E1577" s="1" t="s">
        <v>3401</v>
      </c>
      <c r="F1577" s="1" t="s">
        <v>117</v>
      </c>
      <c r="G1577" s="1" t="str">
        <f>"04051160234"</f>
        <v>04051160234</v>
      </c>
      <c r="I1577" s="1" t="s">
        <v>2165</v>
      </c>
      <c r="L1577" s="1" t="s">
        <v>44</v>
      </c>
      <c r="M1577" s="1" t="s">
        <v>3402</v>
      </c>
      <c r="AG1577" s="1" t="s">
        <v>124</v>
      </c>
      <c r="AH1577" s="2">
        <v>44988</v>
      </c>
      <c r="AI1577" s="2">
        <v>46013</v>
      </c>
      <c r="AJ1577" s="2">
        <v>44988</v>
      </c>
    </row>
    <row r="1578" spans="1:36">
      <c r="A1578" s="1" t="str">
        <f>"96712296A4"</f>
        <v>96712296A4</v>
      </c>
      <c r="B1578" s="1" t="str">
        <f t="shared" si="38"/>
        <v>02406911202</v>
      </c>
      <c r="C1578" s="1" t="s">
        <v>13</v>
      </c>
      <c r="D1578" s="1" t="s">
        <v>37</v>
      </c>
      <c r="E1578" s="1" t="s">
        <v>3403</v>
      </c>
      <c r="F1578" s="1" t="s">
        <v>117</v>
      </c>
      <c r="G1578" s="1" t="str">
        <f>"04051160234"</f>
        <v>04051160234</v>
      </c>
      <c r="I1578" s="1" t="s">
        <v>2165</v>
      </c>
      <c r="L1578" s="1" t="s">
        <v>44</v>
      </c>
      <c r="M1578" s="1" t="s">
        <v>3404</v>
      </c>
      <c r="AG1578" s="1" t="s">
        <v>3405</v>
      </c>
      <c r="AH1578" s="2">
        <v>44988</v>
      </c>
      <c r="AI1578" s="2">
        <v>46013</v>
      </c>
      <c r="AJ1578" s="2">
        <v>44988</v>
      </c>
    </row>
    <row r="1579" spans="1:36">
      <c r="A1579" s="1" t="str">
        <f>"96729968D0"</f>
        <v>96729968D0</v>
      </c>
      <c r="B1579" s="1" t="str">
        <f t="shared" si="38"/>
        <v>02406911202</v>
      </c>
      <c r="C1579" s="1" t="s">
        <v>13</v>
      </c>
      <c r="D1579" s="1" t="s">
        <v>37</v>
      </c>
      <c r="E1579" s="1" t="s">
        <v>3406</v>
      </c>
      <c r="F1579" s="1" t="s">
        <v>117</v>
      </c>
      <c r="G1579" s="1" t="str">
        <f>"00674840152"</f>
        <v>00674840152</v>
      </c>
      <c r="I1579" s="1" t="s">
        <v>190</v>
      </c>
      <c r="L1579" s="1" t="s">
        <v>44</v>
      </c>
      <c r="M1579" s="1" t="s">
        <v>3407</v>
      </c>
      <c r="AG1579" s="1" t="s">
        <v>3408</v>
      </c>
      <c r="AH1579" s="2">
        <v>44988</v>
      </c>
      <c r="AI1579" s="2">
        <v>46010</v>
      </c>
      <c r="AJ1579" s="2">
        <v>44988</v>
      </c>
    </row>
    <row r="1580" spans="1:36">
      <c r="A1580" s="1" t="str">
        <f>"9673081EF3"</f>
        <v>9673081EF3</v>
      </c>
      <c r="B1580" s="1" t="str">
        <f t="shared" si="38"/>
        <v>02406911202</v>
      </c>
      <c r="C1580" s="1" t="s">
        <v>13</v>
      </c>
      <c r="D1580" s="1" t="s">
        <v>37</v>
      </c>
      <c r="E1580" s="1" t="s">
        <v>3409</v>
      </c>
      <c r="F1580" s="1" t="s">
        <v>117</v>
      </c>
      <c r="G1580" s="1" t="str">
        <f>"01258691003"</f>
        <v>01258691003</v>
      </c>
      <c r="I1580" s="1" t="s">
        <v>2027</v>
      </c>
      <c r="L1580" s="1" t="s">
        <v>44</v>
      </c>
      <c r="M1580" s="1" t="s">
        <v>3410</v>
      </c>
      <c r="AG1580" s="1" t="s">
        <v>124</v>
      </c>
      <c r="AH1580" s="2">
        <v>44988</v>
      </c>
      <c r="AI1580" s="2">
        <v>46023</v>
      </c>
      <c r="AJ1580" s="2">
        <v>44988</v>
      </c>
    </row>
    <row r="1581" spans="1:36">
      <c r="A1581" s="1" t="str">
        <f>"9673100EA1"</f>
        <v>9673100EA1</v>
      </c>
      <c r="B1581" s="1" t="str">
        <f t="shared" si="38"/>
        <v>02406911202</v>
      </c>
      <c r="C1581" s="1" t="s">
        <v>13</v>
      </c>
      <c r="D1581" s="1" t="s">
        <v>37</v>
      </c>
      <c r="E1581" s="1" t="s">
        <v>3411</v>
      </c>
      <c r="F1581" s="1" t="s">
        <v>117</v>
      </c>
      <c r="G1581" s="1" t="str">
        <f>"09734150155"</f>
        <v>09734150155</v>
      </c>
      <c r="I1581" s="1" t="s">
        <v>1479</v>
      </c>
      <c r="L1581" s="1" t="s">
        <v>44</v>
      </c>
      <c r="M1581" s="1" t="s">
        <v>3412</v>
      </c>
      <c r="AG1581" s="1" t="s">
        <v>3413</v>
      </c>
      <c r="AH1581" s="2">
        <v>44988</v>
      </c>
      <c r="AI1581" s="2">
        <v>46023</v>
      </c>
      <c r="AJ1581" s="2">
        <v>44988</v>
      </c>
    </row>
    <row r="1582" spans="1:36">
      <c r="A1582" s="1" t="str">
        <f>"ZCA3A38DF9"</f>
        <v>ZCA3A38DF9</v>
      </c>
      <c r="B1582" s="1" t="str">
        <f t="shared" si="38"/>
        <v>02406911202</v>
      </c>
      <c r="C1582" s="1" t="s">
        <v>13</v>
      </c>
      <c r="D1582" s="1" t="s">
        <v>1253</v>
      </c>
      <c r="E1582" s="1" t="s">
        <v>1262</v>
      </c>
      <c r="F1582" s="1" t="s">
        <v>49</v>
      </c>
      <c r="G1582" s="1" t="str">
        <f>"10087630967"</f>
        <v>10087630967</v>
      </c>
      <c r="I1582" s="1" t="s">
        <v>3414</v>
      </c>
      <c r="L1582" s="1" t="s">
        <v>44</v>
      </c>
      <c r="M1582" s="1" t="s">
        <v>1255</v>
      </c>
      <c r="AG1582" s="1" t="s">
        <v>3415</v>
      </c>
      <c r="AH1582" s="2">
        <v>44988</v>
      </c>
      <c r="AI1582" s="2">
        <v>45291</v>
      </c>
      <c r="AJ1582" s="2">
        <v>44988</v>
      </c>
    </row>
    <row r="1583" spans="1:36">
      <c r="A1583" s="1" t="str">
        <f>"9673119E4F"</f>
        <v>9673119E4F</v>
      </c>
      <c r="B1583" s="1" t="str">
        <f t="shared" si="38"/>
        <v>02406911202</v>
      </c>
      <c r="C1583" s="1" t="s">
        <v>13</v>
      </c>
      <c r="D1583" s="1" t="s">
        <v>37</v>
      </c>
      <c r="E1583" s="1" t="s">
        <v>3416</v>
      </c>
      <c r="F1583" s="1" t="s">
        <v>117</v>
      </c>
      <c r="G1583" s="1" t="str">
        <f>"09734150155"</f>
        <v>09734150155</v>
      </c>
      <c r="I1583" s="1" t="s">
        <v>1479</v>
      </c>
      <c r="L1583" s="1" t="s">
        <v>44</v>
      </c>
      <c r="M1583" s="1" t="s">
        <v>3417</v>
      </c>
      <c r="AG1583" s="1" t="s">
        <v>3418</v>
      </c>
      <c r="AH1583" s="2">
        <v>44988</v>
      </c>
      <c r="AI1583" s="2">
        <v>46023</v>
      </c>
      <c r="AJ1583" s="2">
        <v>44988</v>
      </c>
    </row>
    <row r="1584" spans="1:36">
      <c r="A1584" s="1" t="str">
        <f>"9673137D2A"</f>
        <v>9673137D2A</v>
      </c>
      <c r="B1584" s="1" t="str">
        <f t="shared" si="38"/>
        <v>02406911202</v>
      </c>
      <c r="C1584" s="1" t="s">
        <v>13</v>
      </c>
      <c r="D1584" s="1" t="s">
        <v>37</v>
      </c>
      <c r="E1584" s="1" t="s">
        <v>3419</v>
      </c>
      <c r="F1584" s="1" t="s">
        <v>117</v>
      </c>
      <c r="G1584" s="1" t="str">
        <f>"09734150155"</f>
        <v>09734150155</v>
      </c>
      <c r="I1584" s="1" t="s">
        <v>1479</v>
      </c>
      <c r="L1584" s="1" t="s">
        <v>44</v>
      </c>
      <c r="M1584" s="1" t="s">
        <v>3420</v>
      </c>
      <c r="AG1584" s="1" t="s">
        <v>3421</v>
      </c>
      <c r="AH1584" s="2">
        <v>44988</v>
      </c>
      <c r="AI1584" s="2">
        <v>46023</v>
      </c>
      <c r="AJ1584" s="2">
        <v>44988</v>
      </c>
    </row>
    <row r="1585" spans="1:36">
      <c r="A1585" s="1" t="str">
        <f>"96731675EE"</f>
        <v>96731675EE</v>
      </c>
      <c r="B1585" s="1" t="str">
        <f t="shared" si="38"/>
        <v>02406911202</v>
      </c>
      <c r="C1585" s="1" t="s">
        <v>13</v>
      </c>
      <c r="D1585" s="1" t="s">
        <v>37</v>
      </c>
      <c r="E1585" s="1" t="s">
        <v>3422</v>
      </c>
      <c r="F1585" s="1" t="s">
        <v>117</v>
      </c>
      <c r="G1585" s="1" t="str">
        <f>"06111530637"</f>
        <v>06111530637</v>
      </c>
      <c r="I1585" s="1" t="s">
        <v>1963</v>
      </c>
      <c r="L1585" s="1" t="s">
        <v>44</v>
      </c>
      <c r="M1585" s="1" t="s">
        <v>2725</v>
      </c>
      <c r="AG1585" s="1" t="s">
        <v>124</v>
      </c>
      <c r="AH1585" s="2">
        <v>44988</v>
      </c>
      <c r="AI1585" s="2">
        <v>46030</v>
      </c>
      <c r="AJ1585" s="2">
        <v>44988</v>
      </c>
    </row>
    <row r="1586" spans="1:36">
      <c r="A1586" s="1" t="str">
        <f>"ZCB3A3B380"</f>
        <v>ZCB3A3B380</v>
      </c>
      <c r="B1586" s="1" t="str">
        <f t="shared" si="38"/>
        <v>02406911202</v>
      </c>
      <c r="C1586" s="1" t="s">
        <v>13</v>
      </c>
      <c r="D1586" s="1" t="s">
        <v>205</v>
      </c>
      <c r="E1586" s="1" t="s">
        <v>3423</v>
      </c>
      <c r="F1586" s="1" t="s">
        <v>49</v>
      </c>
      <c r="G1586" s="1" t="str">
        <f>"03831150366"</f>
        <v>03831150366</v>
      </c>
      <c r="I1586" s="1" t="s">
        <v>1774</v>
      </c>
      <c r="L1586" s="1" t="s">
        <v>44</v>
      </c>
      <c r="M1586" s="1" t="s">
        <v>1629</v>
      </c>
      <c r="AG1586" s="1" t="s">
        <v>3424</v>
      </c>
      <c r="AH1586" s="2">
        <v>44927</v>
      </c>
      <c r="AI1586" s="2">
        <v>45657</v>
      </c>
      <c r="AJ1586" s="2">
        <v>44927</v>
      </c>
    </row>
    <row r="1587" spans="1:36">
      <c r="A1587" s="1" t="str">
        <f>"ZBB39C1BD2"</f>
        <v>ZBB39C1BD2</v>
      </c>
      <c r="B1587" s="1" t="str">
        <f t="shared" si="38"/>
        <v>02406911202</v>
      </c>
      <c r="C1587" s="1" t="s">
        <v>13</v>
      </c>
      <c r="D1587" s="1" t="s">
        <v>205</v>
      </c>
      <c r="E1587" s="1" t="s">
        <v>1753</v>
      </c>
      <c r="F1587" s="1" t="s">
        <v>39</v>
      </c>
      <c r="G1587" s="1" t="str">
        <f>"03831150366"</f>
        <v>03831150366</v>
      </c>
      <c r="I1587" s="1" t="s">
        <v>1774</v>
      </c>
      <c r="L1587" s="1" t="s">
        <v>44</v>
      </c>
      <c r="M1587" s="1" t="s">
        <v>3425</v>
      </c>
      <c r="AG1587" s="1" t="s">
        <v>3426</v>
      </c>
      <c r="AH1587" s="2">
        <v>44927</v>
      </c>
      <c r="AI1587" s="2">
        <v>45291</v>
      </c>
      <c r="AJ1587" s="2">
        <v>44927</v>
      </c>
    </row>
    <row r="1588" spans="1:36">
      <c r="A1588" s="1" t="str">
        <f>"Z0439C9905"</f>
        <v>Z0439C9905</v>
      </c>
      <c r="B1588" s="1" t="str">
        <f t="shared" si="38"/>
        <v>02406911202</v>
      </c>
      <c r="C1588" s="1" t="s">
        <v>13</v>
      </c>
      <c r="D1588" s="1" t="s">
        <v>1312</v>
      </c>
      <c r="E1588" s="1" t="s">
        <v>3427</v>
      </c>
      <c r="F1588" s="1" t="s">
        <v>49</v>
      </c>
      <c r="G1588" s="1" t="str">
        <f>"09058160152"</f>
        <v>09058160152</v>
      </c>
      <c r="I1588" s="1" t="s">
        <v>1357</v>
      </c>
      <c r="L1588" s="1" t="s">
        <v>44</v>
      </c>
      <c r="M1588" s="1" t="s">
        <v>1314</v>
      </c>
      <c r="AG1588" s="1" t="s">
        <v>3428</v>
      </c>
      <c r="AH1588" s="2">
        <v>44959</v>
      </c>
      <c r="AI1588" s="2">
        <v>46022</v>
      </c>
      <c r="AJ1588" s="2">
        <v>44959</v>
      </c>
    </row>
    <row r="1589" spans="1:36">
      <c r="A1589" s="1" t="str">
        <f>"ZF039C4F5D"</f>
        <v>ZF039C4F5D</v>
      </c>
      <c r="B1589" s="1" t="str">
        <f t="shared" si="38"/>
        <v>02406911202</v>
      </c>
      <c r="C1589" s="1" t="s">
        <v>13</v>
      </c>
      <c r="D1589" s="1" t="s">
        <v>205</v>
      </c>
      <c r="E1589" s="1" t="s">
        <v>1686</v>
      </c>
      <c r="F1589" s="1" t="s">
        <v>39</v>
      </c>
      <c r="G1589" s="1" t="str">
        <f>"00203950332"</f>
        <v>00203950332</v>
      </c>
      <c r="I1589" s="1" t="s">
        <v>3429</v>
      </c>
      <c r="L1589" s="1" t="s">
        <v>44</v>
      </c>
      <c r="M1589" s="1" t="s">
        <v>1865</v>
      </c>
      <c r="AG1589" s="1" t="s">
        <v>3430</v>
      </c>
      <c r="AH1589" s="2">
        <v>44927</v>
      </c>
      <c r="AI1589" s="2">
        <v>45291</v>
      </c>
      <c r="AJ1589" s="2">
        <v>44927</v>
      </c>
    </row>
    <row r="1590" spans="1:36">
      <c r="A1590" s="1" t="str">
        <f>"961631957A"</f>
        <v>961631957A</v>
      </c>
      <c r="B1590" s="1" t="str">
        <f t="shared" si="38"/>
        <v>02406911202</v>
      </c>
      <c r="C1590" s="1" t="s">
        <v>13</v>
      </c>
      <c r="D1590" s="1" t="s">
        <v>205</v>
      </c>
      <c r="E1590" s="1" t="s">
        <v>3431</v>
      </c>
      <c r="F1590" s="1" t="s">
        <v>39</v>
      </c>
      <c r="G1590" s="1" t="str">
        <f>"03700700374"</f>
        <v>03700700374</v>
      </c>
      <c r="I1590" s="1" t="s">
        <v>3432</v>
      </c>
      <c r="L1590" s="1" t="s">
        <v>44</v>
      </c>
      <c r="M1590" s="1" t="s">
        <v>3433</v>
      </c>
      <c r="AG1590" s="1" t="s">
        <v>3434</v>
      </c>
      <c r="AH1590" s="2">
        <v>44927</v>
      </c>
      <c r="AI1590" s="2">
        <v>45657</v>
      </c>
      <c r="AJ1590" s="2">
        <v>44927</v>
      </c>
    </row>
    <row r="1591" spans="1:36">
      <c r="A1591" s="1" t="str">
        <f>"Z6A39E95EC"</f>
        <v>Z6A39E95EC</v>
      </c>
      <c r="B1591" s="1" t="str">
        <f t="shared" si="38"/>
        <v>02406911202</v>
      </c>
      <c r="C1591" s="1" t="s">
        <v>13</v>
      </c>
      <c r="D1591" s="1" t="s">
        <v>1253</v>
      </c>
      <c r="E1591" s="1" t="s">
        <v>1260</v>
      </c>
      <c r="F1591" s="1" t="s">
        <v>49</v>
      </c>
      <c r="G1591" s="1" t="str">
        <f>"04289840268"</f>
        <v>04289840268</v>
      </c>
      <c r="I1591" s="1" t="s">
        <v>1296</v>
      </c>
      <c r="L1591" s="1" t="s">
        <v>44</v>
      </c>
      <c r="M1591" s="1" t="s">
        <v>1255</v>
      </c>
      <c r="AG1591" s="1" t="s">
        <v>3435</v>
      </c>
      <c r="AH1591" s="2">
        <v>44967</v>
      </c>
      <c r="AI1591" s="2">
        <v>45291</v>
      </c>
      <c r="AJ1591" s="2">
        <v>44967</v>
      </c>
    </row>
    <row r="1592" spans="1:36">
      <c r="A1592" s="1" t="str">
        <f>"Z0739E9C93"</f>
        <v>Z0739E9C93</v>
      </c>
      <c r="B1592" s="1" t="str">
        <f t="shared" si="38"/>
        <v>02406911202</v>
      </c>
      <c r="C1592" s="1" t="s">
        <v>13</v>
      </c>
      <c r="D1592" s="1" t="s">
        <v>1253</v>
      </c>
      <c r="E1592" s="1" t="s">
        <v>1254</v>
      </c>
      <c r="F1592" s="1" t="s">
        <v>49</v>
      </c>
      <c r="G1592" s="1" t="str">
        <f>"09163950968"</f>
        <v>09163950968</v>
      </c>
      <c r="I1592" s="1" t="s">
        <v>3436</v>
      </c>
      <c r="L1592" s="1" t="s">
        <v>44</v>
      </c>
      <c r="M1592" s="1" t="s">
        <v>1255</v>
      </c>
      <c r="AG1592" s="1" t="s">
        <v>3437</v>
      </c>
      <c r="AH1592" s="2">
        <v>44967</v>
      </c>
      <c r="AI1592" s="2">
        <v>45291</v>
      </c>
      <c r="AJ1592" s="2">
        <v>44967</v>
      </c>
    </row>
    <row r="1593" spans="1:36">
      <c r="A1593" s="1" t="str">
        <f>"Z1A39E9DC6"</f>
        <v>Z1A39E9DC6</v>
      </c>
      <c r="B1593" s="1" t="str">
        <f t="shared" si="38"/>
        <v>02406911202</v>
      </c>
      <c r="C1593" s="1" t="s">
        <v>13</v>
      </c>
      <c r="D1593" s="1" t="s">
        <v>1253</v>
      </c>
      <c r="E1593" s="1" t="s">
        <v>1317</v>
      </c>
      <c r="F1593" s="1" t="s">
        <v>49</v>
      </c>
      <c r="G1593" s="1" t="str">
        <f>"01835220482"</f>
        <v>01835220482</v>
      </c>
      <c r="I1593" s="1" t="s">
        <v>412</v>
      </c>
      <c r="L1593" s="1" t="s">
        <v>44</v>
      </c>
      <c r="M1593" s="1" t="s">
        <v>1255</v>
      </c>
      <c r="AG1593" s="1" t="s">
        <v>3438</v>
      </c>
      <c r="AH1593" s="2">
        <v>44967</v>
      </c>
      <c r="AI1593" s="2">
        <v>45291</v>
      </c>
      <c r="AJ1593" s="2">
        <v>44967</v>
      </c>
    </row>
    <row r="1594" spans="1:36">
      <c r="A1594" s="1" t="str">
        <f>"ZD939E9F40"</f>
        <v>ZD939E9F40</v>
      </c>
      <c r="B1594" s="1" t="str">
        <f t="shared" si="38"/>
        <v>02406911202</v>
      </c>
      <c r="C1594" s="1" t="s">
        <v>13</v>
      </c>
      <c r="D1594" s="1" t="s">
        <v>1257</v>
      </c>
      <c r="E1594" s="1" t="s">
        <v>3439</v>
      </c>
      <c r="F1594" s="1" t="s">
        <v>49</v>
      </c>
      <c r="G1594" s="1" t="str">
        <f>"03675520245"</f>
        <v>03675520245</v>
      </c>
      <c r="I1594" s="1" t="s">
        <v>3440</v>
      </c>
      <c r="L1594" s="1" t="s">
        <v>44</v>
      </c>
      <c r="M1594" s="1" t="s">
        <v>153</v>
      </c>
      <c r="AG1594" s="1" t="s">
        <v>3441</v>
      </c>
      <c r="AH1594" s="2">
        <v>44967</v>
      </c>
      <c r="AI1594" s="2">
        <v>45291</v>
      </c>
      <c r="AJ1594" s="2">
        <v>44967</v>
      </c>
    </row>
    <row r="1595" spans="1:36">
      <c r="A1595" s="1" t="str">
        <f>"Z8839B0C36"</f>
        <v>Z8839B0C36</v>
      </c>
      <c r="B1595" s="1" t="str">
        <f t="shared" si="38"/>
        <v>02406911202</v>
      </c>
      <c r="C1595" s="1" t="s">
        <v>13</v>
      </c>
      <c r="D1595" s="1" t="s">
        <v>1257</v>
      </c>
      <c r="E1595" s="1" t="s">
        <v>3442</v>
      </c>
      <c r="F1595" s="1" t="s">
        <v>49</v>
      </c>
      <c r="G1595" s="1" t="str">
        <f>"02504331204"</f>
        <v>02504331204</v>
      </c>
      <c r="I1595" s="1" t="s">
        <v>1302</v>
      </c>
      <c r="L1595" s="1" t="s">
        <v>44</v>
      </c>
      <c r="M1595" s="1" t="s">
        <v>2400</v>
      </c>
      <c r="AG1595" s="1" t="s">
        <v>3443</v>
      </c>
      <c r="AH1595" s="2">
        <v>44927</v>
      </c>
      <c r="AI1595" s="2">
        <v>45046</v>
      </c>
      <c r="AJ1595" s="2">
        <v>44927</v>
      </c>
    </row>
    <row r="1596" spans="1:36">
      <c r="A1596" s="1" t="str">
        <f>"Z413A6AE5E"</f>
        <v>Z413A6AE5E</v>
      </c>
      <c r="B1596" s="1" t="str">
        <f t="shared" si="38"/>
        <v>02406911202</v>
      </c>
      <c r="C1596" s="1" t="s">
        <v>13</v>
      </c>
      <c r="D1596" s="1" t="s">
        <v>1257</v>
      </c>
      <c r="E1596" s="1" t="s">
        <v>3444</v>
      </c>
      <c r="F1596" s="1" t="s">
        <v>49</v>
      </c>
      <c r="G1596" s="1" t="str">
        <f>"02053030371"</f>
        <v>02053030371</v>
      </c>
      <c r="I1596" s="1" t="s">
        <v>3445</v>
      </c>
      <c r="L1596" s="1" t="s">
        <v>44</v>
      </c>
      <c r="M1596" s="1" t="s">
        <v>153</v>
      </c>
      <c r="AG1596" s="1" t="s">
        <v>3446</v>
      </c>
      <c r="AH1596" s="2">
        <v>45002</v>
      </c>
      <c r="AI1596" s="2">
        <v>45291</v>
      </c>
      <c r="AJ1596" s="2">
        <v>45002</v>
      </c>
    </row>
    <row r="1597" spans="1:36">
      <c r="A1597" s="1" t="str">
        <f>"9574878F45"</f>
        <v>9574878F45</v>
      </c>
      <c r="B1597" s="1" t="str">
        <f t="shared" si="38"/>
        <v>02406911202</v>
      </c>
      <c r="C1597" s="1" t="s">
        <v>13</v>
      </c>
      <c r="D1597" s="1" t="s">
        <v>37</v>
      </c>
      <c r="E1597" s="1" t="s">
        <v>3447</v>
      </c>
      <c r="F1597" s="1" t="s">
        <v>39</v>
      </c>
      <c r="G1597" s="1" t="str">
        <f>"08862820969"</f>
        <v>08862820969</v>
      </c>
      <c r="I1597" s="1" t="s">
        <v>146</v>
      </c>
      <c r="L1597" s="1" t="s">
        <v>44</v>
      </c>
      <c r="M1597" s="1" t="s">
        <v>3448</v>
      </c>
      <c r="AG1597" s="1" t="s">
        <v>124</v>
      </c>
      <c r="AH1597" s="2">
        <v>45002</v>
      </c>
      <c r="AI1597" s="2">
        <v>45732</v>
      </c>
      <c r="AJ1597" s="2">
        <v>45002</v>
      </c>
    </row>
    <row r="1598" spans="1:36">
      <c r="A1598" s="1" t="str">
        <f>"Z613A685F8"</f>
        <v>Z613A685F8</v>
      </c>
      <c r="B1598" s="1" t="str">
        <f t="shared" si="38"/>
        <v>02406911202</v>
      </c>
      <c r="C1598" s="1" t="s">
        <v>13</v>
      </c>
      <c r="D1598" s="1" t="s">
        <v>1741</v>
      </c>
      <c r="E1598" s="1" t="s">
        <v>3449</v>
      </c>
      <c r="F1598" s="1" t="s">
        <v>49</v>
      </c>
      <c r="G1598" s="1" t="str">
        <f>"03358520967"</f>
        <v>03358520967</v>
      </c>
      <c r="I1598" s="1" t="s">
        <v>3450</v>
      </c>
      <c r="L1598" s="1" t="s">
        <v>44</v>
      </c>
      <c r="M1598" s="1" t="s">
        <v>3451</v>
      </c>
      <c r="AG1598" s="1" t="s">
        <v>948</v>
      </c>
      <c r="AH1598" s="2">
        <v>45001</v>
      </c>
      <c r="AI1598" s="2">
        <v>45291</v>
      </c>
      <c r="AJ1598" s="2">
        <v>45001</v>
      </c>
    </row>
    <row r="1599" spans="1:36">
      <c r="A1599" s="1" t="str">
        <f>"9720211BDC"</f>
        <v>9720211BDC</v>
      </c>
      <c r="B1599" s="1" t="str">
        <f t="shared" si="38"/>
        <v>02406911202</v>
      </c>
      <c r="C1599" s="1" t="s">
        <v>13</v>
      </c>
      <c r="D1599" s="1" t="s">
        <v>205</v>
      </c>
      <c r="E1599" s="1" t="s">
        <v>3452</v>
      </c>
      <c r="F1599" s="1" t="s">
        <v>39</v>
      </c>
      <c r="G1599" s="1" t="str">
        <f>"03557730375"</f>
        <v>03557730375</v>
      </c>
      <c r="I1599" s="1" t="s">
        <v>3453</v>
      </c>
      <c r="L1599" s="1" t="s">
        <v>44</v>
      </c>
      <c r="M1599" s="1" t="s">
        <v>2891</v>
      </c>
      <c r="AG1599" s="1" t="s">
        <v>3454</v>
      </c>
      <c r="AH1599" s="2">
        <v>44927</v>
      </c>
      <c r="AI1599" s="2">
        <v>45657</v>
      </c>
      <c r="AJ1599" s="2">
        <v>44927</v>
      </c>
    </row>
    <row r="1600" spans="1:36">
      <c r="A1600" s="1" t="str">
        <f>"ZA83A099B1"</f>
        <v>ZA83A099B1</v>
      </c>
      <c r="B1600" s="1" t="str">
        <f t="shared" si="38"/>
        <v>02406911202</v>
      </c>
      <c r="C1600" s="1" t="s">
        <v>13</v>
      </c>
      <c r="D1600" s="1" t="s">
        <v>1741</v>
      </c>
      <c r="E1600" s="1" t="s">
        <v>3455</v>
      </c>
      <c r="F1600" s="1" t="s">
        <v>39</v>
      </c>
      <c r="G1600" s="1" t="str">
        <f>"03593680378"</f>
        <v>03593680378</v>
      </c>
      <c r="I1600" s="1" t="s">
        <v>432</v>
      </c>
      <c r="L1600" s="1" t="s">
        <v>44</v>
      </c>
      <c r="M1600" s="1" t="s">
        <v>3456</v>
      </c>
      <c r="AG1600" s="1" t="s">
        <v>3456</v>
      </c>
      <c r="AH1600" s="2">
        <v>44977</v>
      </c>
      <c r="AI1600" s="2">
        <v>45291</v>
      </c>
      <c r="AJ1600" s="2">
        <v>44977</v>
      </c>
    </row>
    <row r="1601" spans="1:36">
      <c r="A1601" s="1" t="str">
        <f>"ZD339B5755"</f>
        <v>ZD339B5755</v>
      </c>
      <c r="B1601" s="1" t="str">
        <f t="shared" si="38"/>
        <v>02406911202</v>
      </c>
      <c r="C1601" s="1" t="s">
        <v>13</v>
      </c>
      <c r="D1601" s="1" t="s">
        <v>1257</v>
      </c>
      <c r="E1601" s="1" t="s">
        <v>3457</v>
      </c>
      <c r="F1601" s="1" t="s">
        <v>49</v>
      </c>
      <c r="G1601" s="1" t="str">
        <f>"01603091008"</f>
        <v>01603091008</v>
      </c>
      <c r="I1601" s="1" t="s">
        <v>3458</v>
      </c>
      <c r="L1601" s="1" t="s">
        <v>44</v>
      </c>
      <c r="M1601" s="1" t="s">
        <v>946</v>
      </c>
      <c r="AG1601" s="1" t="s">
        <v>3459</v>
      </c>
      <c r="AH1601" s="2">
        <v>44956</v>
      </c>
      <c r="AI1601" s="2">
        <v>45291</v>
      </c>
      <c r="AJ1601" s="2">
        <v>44956</v>
      </c>
    </row>
    <row r="1602" spans="1:36">
      <c r="A1602" s="1" t="str">
        <f>"ZFA39B8B06"</f>
        <v>ZFA39B8B06</v>
      </c>
      <c r="B1602" s="1" t="str">
        <f t="shared" si="38"/>
        <v>02406911202</v>
      </c>
      <c r="C1602" s="1" t="s">
        <v>13</v>
      </c>
      <c r="D1602" s="1" t="s">
        <v>1312</v>
      </c>
      <c r="E1602" s="1" t="s">
        <v>3460</v>
      </c>
      <c r="F1602" s="1" t="s">
        <v>49</v>
      </c>
      <c r="G1602" s="1" t="str">
        <f>"00549731206"</f>
        <v>00549731206</v>
      </c>
      <c r="I1602" s="1" t="s">
        <v>1391</v>
      </c>
      <c r="L1602" s="1" t="s">
        <v>44</v>
      </c>
      <c r="M1602" s="1" t="s">
        <v>1314</v>
      </c>
      <c r="AG1602" s="1" t="s">
        <v>3461</v>
      </c>
      <c r="AH1602" s="2">
        <v>44956</v>
      </c>
      <c r="AI1602" s="2">
        <v>46022</v>
      </c>
      <c r="AJ1602" s="2">
        <v>44956</v>
      </c>
    </row>
    <row r="1603" spans="1:36">
      <c r="A1603" s="1" t="str">
        <f>"Z8D39B92E7"</f>
        <v>Z8D39B92E7</v>
      </c>
      <c r="B1603" s="1" t="str">
        <f t="shared" si="38"/>
        <v>02406911202</v>
      </c>
      <c r="C1603" s="1" t="s">
        <v>13</v>
      </c>
      <c r="D1603" s="1" t="s">
        <v>1257</v>
      </c>
      <c r="E1603" s="1" t="s">
        <v>3462</v>
      </c>
      <c r="F1603" s="1" t="s">
        <v>49</v>
      </c>
      <c r="G1603" s="1" t="str">
        <f>"00961550969"</f>
        <v>00961550969</v>
      </c>
      <c r="I1603" s="1" t="s">
        <v>3463</v>
      </c>
      <c r="L1603" s="1" t="s">
        <v>44</v>
      </c>
      <c r="M1603" s="1" t="s">
        <v>103</v>
      </c>
      <c r="AG1603" s="1" t="s">
        <v>2150</v>
      </c>
      <c r="AH1603" s="2">
        <v>44956</v>
      </c>
      <c r="AI1603" s="2">
        <v>45291</v>
      </c>
      <c r="AJ1603" s="2">
        <v>44956</v>
      </c>
    </row>
    <row r="1604" spans="1:36">
      <c r="A1604" s="1" t="str">
        <f>"Z4539B36F1"</f>
        <v>Z4539B36F1</v>
      </c>
      <c r="B1604" s="1" t="str">
        <f t="shared" si="38"/>
        <v>02406911202</v>
      </c>
      <c r="C1604" s="1" t="s">
        <v>13</v>
      </c>
      <c r="D1604" s="1" t="s">
        <v>1253</v>
      </c>
      <c r="E1604" s="1" t="s">
        <v>1317</v>
      </c>
      <c r="F1604" s="1" t="s">
        <v>49</v>
      </c>
      <c r="G1604" s="1" t="str">
        <f>"09163950968"</f>
        <v>09163950968</v>
      </c>
      <c r="I1604" s="1" t="s">
        <v>3436</v>
      </c>
      <c r="L1604" s="1" t="s">
        <v>44</v>
      </c>
      <c r="M1604" s="1" t="s">
        <v>1255</v>
      </c>
      <c r="AG1604" s="1" t="s">
        <v>3464</v>
      </c>
      <c r="AH1604" s="2">
        <v>44956</v>
      </c>
      <c r="AI1604" s="2">
        <v>45291</v>
      </c>
      <c r="AJ1604" s="2">
        <v>44956</v>
      </c>
    </row>
    <row r="1605" spans="1:36">
      <c r="A1605" s="1" t="str">
        <f>"96160821E7"</f>
        <v>96160821E7</v>
      </c>
      <c r="B1605" s="1" t="str">
        <f t="shared" si="38"/>
        <v>02406911202</v>
      </c>
      <c r="C1605" s="1" t="s">
        <v>13</v>
      </c>
      <c r="D1605" s="1" t="s">
        <v>37</v>
      </c>
      <c r="E1605" s="1" t="s">
        <v>3465</v>
      </c>
      <c r="F1605" s="1" t="s">
        <v>117</v>
      </c>
      <c r="G1605" s="1" t="str">
        <f>"11492820151"</f>
        <v>11492820151</v>
      </c>
      <c r="I1605" s="1" t="s">
        <v>3466</v>
      </c>
      <c r="L1605" s="1" t="s">
        <v>44</v>
      </c>
      <c r="M1605" s="1" t="s">
        <v>708</v>
      </c>
      <c r="AG1605" s="1" t="s">
        <v>3467</v>
      </c>
      <c r="AH1605" s="2">
        <v>44958</v>
      </c>
      <c r="AI1605" s="2">
        <v>45322</v>
      </c>
      <c r="AJ1605" s="2">
        <v>44958</v>
      </c>
    </row>
    <row r="1606" spans="1:36">
      <c r="A1606" s="1" t="str">
        <f>"Z1F39D374A"</f>
        <v>Z1F39D374A</v>
      </c>
      <c r="B1606" s="1" t="str">
        <f t="shared" ref="B1606:B1669" si="39">"02406911202"</f>
        <v>02406911202</v>
      </c>
      <c r="C1606" s="1" t="s">
        <v>13</v>
      </c>
      <c r="D1606" s="1" t="s">
        <v>1257</v>
      </c>
      <c r="E1606" s="1" t="s">
        <v>3468</v>
      </c>
      <c r="F1606" s="1" t="s">
        <v>49</v>
      </c>
      <c r="G1606" s="1" t="str">
        <f>"02654900022"</f>
        <v>02654900022</v>
      </c>
      <c r="I1606" s="1" t="s">
        <v>531</v>
      </c>
      <c r="L1606" s="1" t="s">
        <v>44</v>
      </c>
      <c r="M1606" s="1" t="s">
        <v>103</v>
      </c>
      <c r="AG1606" s="1" t="s">
        <v>828</v>
      </c>
      <c r="AH1606" s="2">
        <v>44963</v>
      </c>
      <c r="AI1606" s="2">
        <v>45291</v>
      </c>
      <c r="AJ1606" s="2">
        <v>44963</v>
      </c>
    </row>
    <row r="1607" spans="1:36">
      <c r="A1607" s="1" t="str">
        <f>"Z4039D3661"</f>
        <v>Z4039D3661</v>
      </c>
      <c r="B1607" s="1" t="str">
        <f t="shared" si="39"/>
        <v>02406911202</v>
      </c>
      <c r="C1607" s="1" t="s">
        <v>13</v>
      </c>
      <c r="D1607" s="1" t="s">
        <v>1257</v>
      </c>
      <c r="E1607" s="1" t="s">
        <v>3468</v>
      </c>
      <c r="F1607" s="1" t="s">
        <v>49</v>
      </c>
      <c r="G1607" s="1" t="str">
        <f>"04888840487"</f>
        <v>04888840487</v>
      </c>
      <c r="I1607" s="1" t="s">
        <v>3293</v>
      </c>
      <c r="L1607" s="1" t="s">
        <v>44</v>
      </c>
      <c r="M1607" s="1" t="s">
        <v>103</v>
      </c>
      <c r="AG1607" s="1" t="s">
        <v>3469</v>
      </c>
      <c r="AH1607" s="2">
        <v>44963</v>
      </c>
      <c r="AI1607" s="2">
        <v>45291</v>
      </c>
      <c r="AJ1607" s="2">
        <v>44963</v>
      </c>
    </row>
    <row r="1608" spans="1:36">
      <c r="A1608" s="1" t="str">
        <f>"9584572F03"</f>
        <v>9584572F03</v>
      </c>
      <c r="B1608" s="1" t="str">
        <f t="shared" si="39"/>
        <v>02406911202</v>
      </c>
      <c r="C1608" s="1" t="s">
        <v>13</v>
      </c>
      <c r="D1608" s="1" t="s">
        <v>37</v>
      </c>
      <c r="E1608" s="1" t="s">
        <v>3470</v>
      </c>
      <c r="F1608" s="1" t="s">
        <v>117</v>
      </c>
      <c r="G1608" s="1" t="str">
        <f>"11025740157"</f>
        <v>11025740157</v>
      </c>
      <c r="I1608" s="1" t="s">
        <v>1615</v>
      </c>
      <c r="L1608" s="1" t="s">
        <v>44</v>
      </c>
      <c r="M1608" s="1" t="s">
        <v>3471</v>
      </c>
      <c r="AG1608" s="1" t="s">
        <v>124</v>
      </c>
      <c r="AH1608" s="2">
        <v>44966</v>
      </c>
      <c r="AI1608" s="2">
        <v>45291</v>
      </c>
      <c r="AJ1608" s="2">
        <v>44966</v>
      </c>
    </row>
    <row r="1609" spans="1:36">
      <c r="A1609" s="1" t="str">
        <f>"9646657131"</f>
        <v>9646657131</v>
      </c>
      <c r="B1609" s="1" t="str">
        <f t="shared" si="39"/>
        <v>02406911202</v>
      </c>
      <c r="C1609" s="1" t="s">
        <v>13</v>
      </c>
      <c r="D1609" s="1" t="s">
        <v>37</v>
      </c>
      <c r="E1609" s="1" t="s">
        <v>3472</v>
      </c>
      <c r="F1609" s="1" t="s">
        <v>117</v>
      </c>
      <c r="G1609" s="1" t="str">
        <f>"05763890638"</f>
        <v>05763890638</v>
      </c>
      <c r="I1609" s="1" t="s">
        <v>428</v>
      </c>
      <c r="L1609" s="1" t="s">
        <v>44</v>
      </c>
      <c r="M1609" s="1" t="s">
        <v>3473</v>
      </c>
      <c r="AG1609" s="1" t="s">
        <v>3474</v>
      </c>
      <c r="AH1609" s="2">
        <v>44943</v>
      </c>
      <c r="AI1609" s="2">
        <v>46022</v>
      </c>
      <c r="AJ1609" s="2">
        <v>44943</v>
      </c>
    </row>
    <row r="1610" spans="1:36">
      <c r="A1610" s="1" t="str">
        <f>"9646615E84"</f>
        <v>9646615E84</v>
      </c>
      <c r="B1610" s="1" t="str">
        <f t="shared" si="39"/>
        <v>02406911202</v>
      </c>
      <c r="C1610" s="1" t="s">
        <v>13</v>
      </c>
      <c r="D1610" s="1" t="s">
        <v>37</v>
      </c>
      <c r="E1610" s="1" t="s">
        <v>3475</v>
      </c>
      <c r="F1610" s="1" t="s">
        <v>117</v>
      </c>
      <c r="G1610" s="1" t="str">
        <f>"08023050969"</f>
        <v>08023050969</v>
      </c>
      <c r="I1610" s="1" t="s">
        <v>1622</v>
      </c>
      <c r="L1610" s="1" t="s">
        <v>44</v>
      </c>
      <c r="M1610" s="1" t="s">
        <v>3476</v>
      </c>
      <c r="AG1610" s="1" t="s">
        <v>3477</v>
      </c>
      <c r="AH1610" s="2">
        <v>44943</v>
      </c>
      <c r="AI1610" s="2">
        <v>46022</v>
      </c>
      <c r="AJ1610" s="2">
        <v>44943</v>
      </c>
    </row>
    <row r="1611" spans="1:36">
      <c r="A1611" s="1" t="str">
        <f>"9646339AC2"</f>
        <v>9646339AC2</v>
      </c>
      <c r="B1611" s="1" t="str">
        <f t="shared" si="39"/>
        <v>02406911202</v>
      </c>
      <c r="C1611" s="1" t="s">
        <v>13</v>
      </c>
      <c r="D1611" s="1" t="s">
        <v>37</v>
      </c>
      <c r="E1611" s="1" t="s">
        <v>3478</v>
      </c>
      <c r="F1611" s="1" t="s">
        <v>117</v>
      </c>
      <c r="H1611" s="1" t="str">
        <f>"332323527"</f>
        <v>332323527</v>
      </c>
      <c r="I1611" s="1" t="s">
        <v>3479</v>
      </c>
      <c r="L1611" s="1" t="s">
        <v>44</v>
      </c>
      <c r="M1611" s="1" t="s">
        <v>3480</v>
      </c>
      <c r="AG1611" s="1" t="s">
        <v>124</v>
      </c>
      <c r="AH1611" s="2">
        <v>44943</v>
      </c>
      <c r="AI1611" s="2">
        <v>46022</v>
      </c>
      <c r="AJ1611" s="2">
        <v>44943</v>
      </c>
    </row>
    <row r="1612" spans="1:36">
      <c r="A1612" s="1" t="str">
        <f>"Z9439DA92F"</f>
        <v>Z9439DA92F</v>
      </c>
      <c r="B1612" s="1" t="str">
        <f t="shared" si="39"/>
        <v>02406911202</v>
      </c>
      <c r="C1612" s="1" t="s">
        <v>13</v>
      </c>
      <c r="D1612" s="1" t="s">
        <v>1253</v>
      </c>
      <c r="E1612" s="1" t="s">
        <v>3481</v>
      </c>
      <c r="F1612" s="1" t="s">
        <v>49</v>
      </c>
      <c r="G1612" s="1" t="str">
        <f>"01282550555"</f>
        <v>01282550555</v>
      </c>
      <c r="I1612" s="1" t="s">
        <v>3482</v>
      </c>
      <c r="L1612" s="1" t="s">
        <v>44</v>
      </c>
      <c r="M1612" s="1" t="s">
        <v>1255</v>
      </c>
      <c r="AG1612" s="1" t="s">
        <v>3483</v>
      </c>
      <c r="AH1612" s="2">
        <v>44966</v>
      </c>
      <c r="AI1612" s="2">
        <v>45291</v>
      </c>
      <c r="AJ1612" s="2">
        <v>44966</v>
      </c>
    </row>
    <row r="1613" spans="1:36">
      <c r="A1613" s="1" t="str">
        <f>"9672920A18"</f>
        <v>9672920A18</v>
      </c>
      <c r="B1613" s="1" t="str">
        <f t="shared" si="39"/>
        <v>02406911202</v>
      </c>
      <c r="C1613" s="1" t="s">
        <v>13</v>
      </c>
      <c r="D1613" s="1" t="s">
        <v>37</v>
      </c>
      <c r="E1613" s="1" t="s">
        <v>3484</v>
      </c>
      <c r="F1613" s="1" t="s">
        <v>117</v>
      </c>
      <c r="G1613" s="1" t="str">
        <f>"01737830230"</f>
        <v>01737830230</v>
      </c>
      <c r="I1613" s="1" t="s">
        <v>1696</v>
      </c>
      <c r="L1613" s="1" t="s">
        <v>44</v>
      </c>
      <c r="M1613" s="1" t="s">
        <v>89</v>
      </c>
      <c r="AG1613" s="1" t="s">
        <v>3485</v>
      </c>
      <c r="AH1613" s="2">
        <v>44988</v>
      </c>
      <c r="AI1613" s="2">
        <v>46011</v>
      </c>
      <c r="AJ1613" s="2">
        <v>44988</v>
      </c>
    </row>
    <row r="1614" spans="1:36">
      <c r="A1614" s="1" t="str">
        <f>"Z4D39F65CF"</f>
        <v>Z4D39F65CF</v>
      </c>
      <c r="B1614" s="1" t="str">
        <f t="shared" si="39"/>
        <v>02406911202</v>
      </c>
      <c r="C1614" s="1" t="s">
        <v>13</v>
      </c>
      <c r="D1614" s="1" t="s">
        <v>205</v>
      </c>
      <c r="E1614" s="1" t="s">
        <v>1686</v>
      </c>
      <c r="F1614" s="1" t="s">
        <v>39</v>
      </c>
      <c r="G1614" s="1" t="str">
        <f>"01524100367"</f>
        <v>01524100367</v>
      </c>
      <c r="I1614" s="1" t="s">
        <v>3486</v>
      </c>
      <c r="L1614" s="1" t="s">
        <v>44</v>
      </c>
      <c r="M1614" s="1" t="s">
        <v>917</v>
      </c>
      <c r="AG1614" s="1" t="s">
        <v>124</v>
      </c>
      <c r="AH1614" s="2">
        <v>44927</v>
      </c>
      <c r="AI1614" s="2">
        <v>45291</v>
      </c>
      <c r="AJ1614" s="2">
        <v>44927</v>
      </c>
    </row>
    <row r="1615" spans="1:36">
      <c r="A1615" s="1" t="str">
        <f>"Z203A0DFE8"</f>
        <v>Z203A0DFE8</v>
      </c>
      <c r="B1615" s="1" t="str">
        <f t="shared" si="39"/>
        <v>02406911202</v>
      </c>
      <c r="C1615" s="1" t="s">
        <v>13</v>
      </c>
      <c r="D1615" s="1" t="s">
        <v>205</v>
      </c>
      <c r="E1615" s="1" t="s">
        <v>1686</v>
      </c>
      <c r="F1615" s="1" t="s">
        <v>39</v>
      </c>
      <c r="G1615" s="1" t="str">
        <f>"02377780743"</f>
        <v>02377780743</v>
      </c>
      <c r="I1615" s="1" t="s">
        <v>3487</v>
      </c>
      <c r="L1615" s="1" t="s">
        <v>44</v>
      </c>
      <c r="M1615" s="1" t="s">
        <v>509</v>
      </c>
      <c r="AG1615" s="1" t="s">
        <v>3488</v>
      </c>
      <c r="AH1615" s="2">
        <v>44927</v>
      </c>
      <c r="AI1615" s="2">
        <v>45291</v>
      </c>
      <c r="AJ1615" s="2">
        <v>44927</v>
      </c>
    </row>
    <row r="1616" spans="1:36">
      <c r="A1616" s="1" t="str">
        <f>"Z113A3BE28"</f>
        <v>Z113A3BE28</v>
      </c>
      <c r="B1616" s="1" t="str">
        <f t="shared" si="39"/>
        <v>02406911202</v>
      </c>
      <c r="C1616" s="1" t="s">
        <v>13</v>
      </c>
      <c r="D1616" s="1" t="s">
        <v>205</v>
      </c>
      <c r="E1616" s="1" t="s">
        <v>3489</v>
      </c>
      <c r="F1616" s="1" t="s">
        <v>49</v>
      </c>
      <c r="G1616" s="1" t="str">
        <f>"03128791203"</f>
        <v>03128791203</v>
      </c>
      <c r="I1616" s="1" t="s">
        <v>3276</v>
      </c>
      <c r="L1616" s="1" t="s">
        <v>44</v>
      </c>
      <c r="M1616" s="1" t="s">
        <v>2565</v>
      </c>
      <c r="AG1616" s="1" t="s">
        <v>2565</v>
      </c>
      <c r="AH1616" s="2">
        <v>44992</v>
      </c>
      <c r="AI1616" s="2">
        <v>45291</v>
      </c>
      <c r="AJ1616" s="2">
        <v>44992</v>
      </c>
    </row>
    <row r="1617" spans="1:36">
      <c r="A1617" s="1" t="str">
        <f>"ZF03A3BD79"</f>
        <v>ZF03A3BD79</v>
      </c>
      <c r="B1617" s="1" t="str">
        <f t="shared" si="39"/>
        <v>02406911202</v>
      </c>
      <c r="C1617" s="1" t="s">
        <v>13</v>
      </c>
      <c r="D1617" s="1" t="s">
        <v>205</v>
      </c>
      <c r="E1617" s="1" t="s">
        <v>3490</v>
      </c>
      <c r="F1617" s="1" t="s">
        <v>49</v>
      </c>
      <c r="G1617" s="1" t="str">
        <f>"03128791203"</f>
        <v>03128791203</v>
      </c>
      <c r="I1617" s="1" t="s">
        <v>3276</v>
      </c>
      <c r="L1617" s="1" t="s">
        <v>44</v>
      </c>
      <c r="M1617" s="1" t="s">
        <v>3491</v>
      </c>
      <c r="AG1617" s="1" t="s">
        <v>3491</v>
      </c>
      <c r="AH1617" s="2">
        <v>44992</v>
      </c>
      <c r="AI1617" s="2">
        <v>45291</v>
      </c>
      <c r="AJ1617" s="2">
        <v>44992</v>
      </c>
    </row>
    <row r="1618" spans="1:36">
      <c r="A1618" s="1" t="str">
        <f>"Z013A0E933"</f>
        <v>Z013A0E933</v>
      </c>
      <c r="B1618" s="1" t="str">
        <f t="shared" si="39"/>
        <v>02406911202</v>
      </c>
      <c r="C1618" s="1" t="s">
        <v>13</v>
      </c>
      <c r="D1618" s="1" t="s">
        <v>205</v>
      </c>
      <c r="E1618" s="1" t="s">
        <v>1753</v>
      </c>
      <c r="F1618" s="1" t="s">
        <v>39</v>
      </c>
      <c r="G1618" s="1" t="str">
        <f>"03355080379"</f>
        <v>03355080379</v>
      </c>
      <c r="I1618" s="1" t="s">
        <v>3492</v>
      </c>
      <c r="L1618" s="1" t="s">
        <v>44</v>
      </c>
      <c r="M1618" s="1" t="s">
        <v>3493</v>
      </c>
      <c r="AG1618" s="1" t="s">
        <v>3494</v>
      </c>
      <c r="AH1618" s="2">
        <v>44927</v>
      </c>
      <c r="AI1618" s="2">
        <v>45291</v>
      </c>
      <c r="AJ1618" s="2">
        <v>44927</v>
      </c>
    </row>
    <row r="1619" spans="1:36">
      <c r="A1619" s="1" t="str">
        <f>"Z543A0E905"</f>
        <v>Z543A0E905</v>
      </c>
      <c r="B1619" s="1" t="str">
        <f t="shared" si="39"/>
        <v>02406911202</v>
      </c>
      <c r="C1619" s="1" t="s">
        <v>13</v>
      </c>
      <c r="D1619" s="1" t="s">
        <v>205</v>
      </c>
      <c r="E1619" s="1" t="s">
        <v>1753</v>
      </c>
      <c r="F1619" s="1" t="s">
        <v>39</v>
      </c>
      <c r="G1619" s="1" t="str">
        <f>"02203870379"</f>
        <v>02203870379</v>
      </c>
      <c r="I1619" s="1" t="s">
        <v>3495</v>
      </c>
      <c r="L1619" s="1" t="s">
        <v>44</v>
      </c>
      <c r="M1619" s="1" t="s">
        <v>3496</v>
      </c>
      <c r="AG1619" s="1" t="s">
        <v>3497</v>
      </c>
      <c r="AH1619" s="2">
        <v>44927</v>
      </c>
      <c r="AI1619" s="2">
        <v>45291</v>
      </c>
      <c r="AJ1619" s="2">
        <v>44927</v>
      </c>
    </row>
    <row r="1620" spans="1:36">
      <c r="A1620" s="1" t="str">
        <f>"ZE43A0E7A2"</f>
        <v>ZE43A0E7A2</v>
      </c>
      <c r="B1620" s="1" t="str">
        <f t="shared" si="39"/>
        <v>02406911202</v>
      </c>
      <c r="C1620" s="1" t="s">
        <v>13</v>
      </c>
      <c r="D1620" s="1" t="s">
        <v>205</v>
      </c>
      <c r="E1620" s="1" t="s">
        <v>1753</v>
      </c>
      <c r="F1620" s="1" t="s">
        <v>39</v>
      </c>
      <c r="G1620" s="1" t="str">
        <f>"03835350376"</f>
        <v>03835350376</v>
      </c>
      <c r="I1620" s="1" t="s">
        <v>3498</v>
      </c>
      <c r="L1620" s="1" t="s">
        <v>44</v>
      </c>
      <c r="M1620" s="1" t="s">
        <v>3499</v>
      </c>
      <c r="AG1620" s="1" t="s">
        <v>3500</v>
      </c>
      <c r="AH1620" s="2">
        <v>44927</v>
      </c>
      <c r="AI1620" s="2">
        <v>45291</v>
      </c>
      <c r="AJ1620" s="2">
        <v>44927</v>
      </c>
    </row>
    <row r="1621" spans="1:36">
      <c r="A1621" s="1" t="str">
        <f>"Z533A0E8C0"</f>
        <v>Z533A0E8C0</v>
      </c>
      <c r="B1621" s="1" t="str">
        <f t="shared" si="39"/>
        <v>02406911202</v>
      </c>
      <c r="C1621" s="1" t="s">
        <v>13</v>
      </c>
      <c r="D1621" s="1" t="s">
        <v>205</v>
      </c>
      <c r="E1621" s="1" t="s">
        <v>1753</v>
      </c>
      <c r="F1621" s="1" t="s">
        <v>39</v>
      </c>
      <c r="G1621" s="1" t="str">
        <f>"00608041208"</f>
        <v>00608041208</v>
      </c>
      <c r="I1621" s="1" t="s">
        <v>2305</v>
      </c>
      <c r="L1621" s="1" t="s">
        <v>44</v>
      </c>
      <c r="M1621" s="1" t="s">
        <v>3501</v>
      </c>
      <c r="AG1621" s="1" t="s">
        <v>3502</v>
      </c>
      <c r="AH1621" s="2">
        <v>44927</v>
      </c>
      <c r="AI1621" s="2">
        <v>45291</v>
      </c>
      <c r="AJ1621" s="2">
        <v>44927</v>
      </c>
    </row>
    <row r="1622" spans="1:36">
      <c r="A1622" s="1" t="str">
        <f>"Z0C3A0E743"</f>
        <v>Z0C3A0E743</v>
      </c>
      <c r="B1622" s="1" t="str">
        <f t="shared" si="39"/>
        <v>02406911202</v>
      </c>
      <c r="C1622" s="1" t="s">
        <v>13</v>
      </c>
      <c r="D1622" s="1" t="s">
        <v>205</v>
      </c>
      <c r="E1622" s="1" t="s">
        <v>1753</v>
      </c>
      <c r="F1622" s="1" t="s">
        <v>39</v>
      </c>
      <c r="G1622" s="1" t="str">
        <f>"00615191202"</f>
        <v>00615191202</v>
      </c>
      <c r="I1622" s="1" t="s">
        <v>3503</v>
      </c>
      <c r="L1622" s="1" t="s">
        <v>44</v>
      </c>
      <c r="M1622" s="1" t="s">
        <v>3504</v>
      </c>
      <c r="AG1622" s="1" t="s">
        <v>3505</v>
      </c>
      <c r="AH1622" s="2">
        <v>44927</v>
      </c>
      <c r="AI1622" s="2">
        <v>45291</v>
      </c>
      <c r="AJ1622" s="2">
        <v>44927</v>
      </c>
    </row>
    <row r="1623" spans="1:36">
      <c r="A1623" s="1" t="str">
        <f>"Z3D3A0E7B9"</f>
        <v>Z3D3A0E7B9</v>
      </c>
      <c r="B1623" s="1" t="str">
        <f t="shared" si="39"/>
        <v>02406911202</v>
      </c>
      <c r="C1623" s="1" t="s">
        <v>13</v>
      </c>
      <c r="D1623" s="1" t="s">
        <v>205</v>
      </c>
      <c r="E1623" s="1" t="s">
        <v>1753</v>
      </c>
      <c r="F1623" s="1" t="s">
        <v>39</v>
      </c>
      <c r="G1623" s="1" t="str">
        <f>"00628011207"</f>
        <v>00628011207</v>
      </c>
      <c r="I1623" s="1" t="s">
        <v>3506</v>
      </c>
      <c r="L1623" s="1" t="s">
        <v>44</v>
      </c>
      <c r="M1623" s="1" t="s">
        <v>3507</v>
      </c>
      <c r="AG1623" s="1" t="s">
        <v>3508</v>
      </c>
      <c r="AH1623" s="2">
        <v>44927</v>
      </c>
      <c r="AI1623" s="2">
        <v>45291</v>
      </c>
      <c r="AJ1623" s="2">
        <v>44927</v>
      </c>
    </row>
    <row r="1624" spans="1:36">
      <c r="A1624" s="1" t="str">
        <f>"Z2B3999037"</f>
        <v>Z2B3999037</v>
      </c>
      <c r="B1624" s="1" t="str">
        <f t="shared" si="39"/>
        <v>02406911202</v>
      </c>
      <c r="C1624" s="1" t="s">
        <v>13</v>
      </c>
      <c r="D1624" s="1" t="s">
        <v>1312</v>
      </c>
      <c r="E1624" s="1" t="s">
        <v>3509</v>
      </c>
      <c r="F1624" s="1" t="s">
        <v>49</v>
      </c>
      <c r="G1624" s="1" t="str">
        <f>"02048200352"</f>
        <v>02048200352</v>
      </c>
      <c r="I1624" s="1" t="s">
        <v>3246</v>
      </c>
      <c r="L1624" s="1" t="s">
        <v>44</v>
      </c>
      <c r="M1624" s="1" t="s">
        <v>1314</v>
      </c>
      <c r="AG1624" s="1" t="s">
        <v>3510</v>
      </c>
      <c r="AH1624" s="2">
        <v>44946</v>
      </c>
      <c r="AI1624" s="2">
        <v>45291</v>
      </c>
      <c r="AJ1624" s="2">
        <v>44946</v>
      </c>
    </row>
    <row r="1625" spans="1:36">
      <c r="A1625" s="1" t="str">
        <f>"9616505EF5"</f>
        <v>9616505EF5</v>
      </c>
      <c r="B1625" s="1" t="str">
        <f t="shared" si="39"/>
        <v>02406911202</v>
      </c>
      <c r="C1625" s="1" t="s">
        <v>13</v>
      </c>
      <c r="D1625" s="1" t="s">
        <v>37</v>
      </c>
      <c r="E1625" s="1" t="s">
        <v>3511</v>
      </c>
      <c r="F1625" s="1" t="s">
        <v>117</v>
      </c>
      <c r="G1625" s="1" t="str">
        <f>"07161740159"</f>
        <v>07161740159</v>
      </c>
      <c r="I1625" s="1" t="s">
        <v>3512</v>
      </c>
      <c r="L1625" s="1" t="s">
        <v>44</v>
      </c>
      <c r="M1625" s="1" t="s">
        <v>3513</v>
      </c>
      <c r="AG1625" s="1" t="s">
        <v>3514</v>
      </c>
      <c r="AH1625" s="2">
        <v>44943</v>
      </c>
      <c r="AI1625" s="2">
        <v>46022</v>
      </c>
      <c r="AJ1625" s="2">
        <v>44943</v>
      </c>
    </row>
    <row r="1626" spans="1:36">
      <c r="A1626" s="1" t="str">
        <f>"Z8139A0876"</f>
        <v>Z8139A0876</v>
      </c>
      <c r="B1626" s="1" t="str">
        <f t="shared" si="39"/>
        <v>02406911202</v>
      </c>
      <c r="C1626" s="1" t="s">
        <v>13</v>
      </c>
      <c r="D1626" s="1" t="s">
        <v>1312</v>
      </c>
      <c r="E1626" s="1" t="s">
        <v>2509</v>
      </c>
      <c r="F1626" s="1" t="s">
        <v>49</v>
      </c>
      <c r="G1626" s="1" t="str">
        <f>"02227081201"</f>
        <v>02227081201</v>
      </c>
      <c r="I1626" s="1" t="s">
        <v>3515</v>
      </c>
      <c r="L1626" s="1" t="s">
        <v>44</v>
      </c>
      <c r="M1626" s="1" t="s">
        <v>3516</v>
      </c>
      <c r="AG1626" s="1" t="s">
        <v>3516</v>
      </c>
      <c r="AH1626" s="2">
        <v>44927</v>
      </c>
      <c r="AI1626" s="2">
        <v>44957</v>
      </c>
      <c r="AJ1626" s="2">
        <v>44927</v>
      </c>
    </row>
    <row r="1627" spans="1:36">
      <c r="A1627" s="1" t="str">
        <f>"96163585A9"</f>
        <v>96163585A9</v>
      </c>
      <c r="B1627" s="1" t="str">
        <f t="shared" si="39"/>
        <v>02406911202</v>
      </c>
      <c r="C1627" s="1" t="s">
        <v>13</v>
      </c>
      <c r="D1627" s="1" t="s">
        <v>37</v>
      </c>
      <c r="E1627" s="1" t="s">
        <v>3517</v>
      </c>
      <c r="F1627" s="1" t="s">
        <v>117</v>
      </c>
      <c r="G1627" s="1" t="str">
        <f>"08433930966"</f>
        <v>08433930966</v>
      </c>
      <c r="I1627" s="1" t="s">
        <v>2124</v>
      </c>
      <c r="L1627" s="1" t="s">
        <v>44</v>
      </c>
      <c r="M1627" s="1" t="s">
        <v>3518</v>
      </c>
      <c r="AG1627" s="1" t="s">
        <v>3519</v>
      </c>
      <c r="AH1627" s="2">
        <v>44943</v>
      </c>
      <c r="AI1627" s="2">
        <v>46022</v>
      </c>
      <c r="AJ1627" s="2">
        <v>44943</v>
      </c>
    </row>
    <row r="1628" spans="1:36">
      <c r="A1628" s="1" t="str">
        <f>"9618382BE9"</f>
        <v>9618382BE9</v>
      </c>
      <c r="B1628" s="1" t="str">
        <f t="shared" si="39"/>
        <v>02406911202</v>
      </c>
      <c r="C1628" s="1" t="s">
        <v>13</v>
      </c>
      <c r="D1628" s="1" t="s">
        <v>37</v>
      </c>
      <c r="E1628" s="1" t="s">
        <v>3520</v>
      </c>
      <c r="F1628" s="1" t="s">
        <v>117</v>
      </c>
      <c r="G1628" s="1" t="str">
        <f>"00792270969"</f>
        <v>00792270969</v>
      </c>
      <c r="I1628" s="1" t="s">
        <v>3521</v>
      </c>
      <c r="L1628" s="1" t="s">
        <v>44</v>
      </c>
      <c r="M1628" s="1" t="s">
        <v>3522</v>
      </c>
      <c r="AG1628" s="1" t="s">
        <v>3523</v>
      </c>
      <c r="AH1628" s="2">
        <v>44950</v>
      </c>
      <c r="AI1628" s="2">
        <v>44985</v>
      </c>
      <c r="AJ1628" s="2">
        <v>44950</v>
      </c>
    </row>
    <row r="1629" spans="1:36">
      <c r="A1629" s="1" t="str">
        <f>"ZBF39A22FA"</f>
        <v>ZBF39A22FA</v>
      </c>
      <c r="B1629" s="1" t="str">
        <f t="shared" si="39"/>
        <v>02406911202</v>
      </c>
      <c r="C1629" s="1" t="s">
        <v>13</v>
      </c>
      <c r="D1629" s="1" t="s">
        <v>1257</v>
      </c>
      <c r="E1629" s="1" t="s">
        <v>3524</v>
      </c>
      <c r="F1629" s="1" t="s">
        <v>49</v>
      </c>
      <c r="G1629" s="1" t="str">
        <f>"04749361004"</f>
        <v>04749361004</v>
      </c>
      <c r="I1629" s="1" t="s">
        <v>3525</v>
      </c>
      <c r="L1629" s="1" t="s">
        <v>44</v>
      </c>
      <c r="M1629" s="1" t="s">
        <v>103</v>
      </c>
      <c r="AG1629" s="1" t="s">
        <v>3526</v>
      </c>
      <c r="AH1629" s="2">
        <v>44950</v>
      </c>
      <c r="AI1629" s="2">
        <v>45291</v>
      </c>
      <c r="AJ1629" s="2">
        <v>44950</v>
      </c>
    </row>
    <row r="1630" spans="1:36">
      <c r="A1630" s="1" t="str">
        <f>"Z5739A2361"</f>
        <v>Z5739A2361</v>
      </c>
      <c r="B1630" s="1" t="str">
        <f t="shared" si="39"/>
        <v>02406911202</v>
      </c>
      <c r="C1630" s="1" t="s">
        <v>13</v>
      </c>
      <c r="D1630" s="1" t="s">
        <v>1257</v>
      </c>
      <c r="E1630" s="1" t="s">
        <v>3527</v>
      </c>
      <c r="F1630" s="1" t="s">
        <v>49</v>
      </c>
      <c r="G1630" s="1" t="str">
        <f>"01837320207"</f>
        <v>01837320207</v>
      </c>
      <c r="I1630" s="1" t="s">
        <v>1794</v>
      </c>
      <c r="L1630" s="1" t="s">
        <v>44</v>
      </c>
      <c r="M1630" s="1" t="s">
        <v>946</v>
      </c>
      <c r="AG1630" s="1" t="s">
        <v>3528</v>
      </c>
      <c r="AH1630" s="2">
        <v>44950</v>
      </c>
      <c r="AI1630" s="2">
        <v>45291</v>
      </c>
      <c r="AJ1630" s="2">
        <v>44950</v>
      </c>
    </row>
    <row r="1631" spans="1:36">
      <c r="A1631" s="1" t="str">
        <f>"9618034CBB"</f>
        <v>9618034CBB</v>
      </c>
      <c r="B1631" s="1" t="str">
        <f t="shared" si="39"/>
        <v>02406911202</v>
      </c>
      <c r="C1631" s="1" t="s">
        <v>13</v>
      </c>
      <c r="D1631" s="1" t="s">
        <v>37</v>
      </c>
      <c r="E1631" s="1" t="s">
        <v>3529</v>
      </c>
      <c r="F1631" s="1" t="s">
        <v>39</v>
      </c>
      <c r="G1631" s="1" t="str">
        <f>"11575580151"</f>
        <v>11575580151</v>
      </c>
      <c r="I1631" s="1" t="s">
        <v>290</v>
      </c>
      <c r="L1631" s="1" t="s">
        <v>44</v>
      </c>
      <c r="M1631" s="1" t="s">
        <v>292</v>
      </c>
      <c r="AG1631" s="1" t="s">
        <v>3530</v>
      </c>
      <c r="AH1631" s="2">
        <v>44951</v>
      </c>
      <c r="AI1631" s="2">
        <v>45131</v>
      </c>
      <c r="AJ1631" s="2">
        <v>44951</v>
      </c>
    </row>
    <row r="1632" spans="1:36">
      <c r="A1632" s="1" t="str">
        <f>"9625773F27"</f>
        <v>9625773F27</v>
      </c>
      <c r="B1632" s="1" t="str">
        <f t="shared" si="39"/>
        <v>02406911202</v>
      </c>
      <c r="C1632" s="1" t="s">
        <v>13</v>
      </c>
      <c r="D1632" s="1" t="s">
        <v>37</v>
      </c>
      <c r="E1632" s="1" t="s">
        <v>3531</v>
      </c>
      <c r="F1632" s="1" t="s">
        <v>117</v>
      </c>
      <c r="G1632" s="1" t="str">
        <f>"05038691001"</f>
        <v>05038691001</v>
      </c>
      <c r="I1632" s="1" t="s">
        <v>3532</v>
      </c>
      <c r="L1632" s="1" t="s">
        <v>44</v>
      </c>
      <c r="M1632" s="1" t="s">
        <v>3533</v>
      </c>
      <c r="AG1632" s="1" t="s">
        <v>3534</v>
      </c>
      <c r="AH1632" s="2">
        <v>44943</v>
      </c>
      <c r="AI1632" s="2">
        <v>46022</v>
      </c>
      <c r="AJ1632" s="2">
        <v>44943</v>
      </c>
    </row>
    <row r="1633" spans="1:36">
      <c r="A1633" s="1" t="str">
        <f>"9610032149"</f>
        <v>9610032149</v>
      </c>
      <c r="B1633" s="1" t="str">
        <f t="shared" si="39"/>
        <v>02406911202</v>
      </c>
      <c r="C1633" s="1" t="s">
        <v>13</v>
      </c>
      <c r="D1633" s="1" t="s">
        <v>37</v>
      </c>
      <c r="E1633" s="1" t="s">
        <v>1947</v>
      </c>
      <c r="F1633" s="1" t="s">
        <v>39</v>
      </c>
      <c r="H1633" s="1" t="str">
        <f>"043310941"</f>
        <v>043310941</v>
      </c>
      <c r="I1633" s="1" t="s">
        <v>1942</v>
      </c>
      <c r="L1633" s="1" t="s">
        <v>44</v>
      </c>
      <c r="M1633" s="1" t="s">
        <v>1918</v>
      </c>
      <c r="AG1633" s="1" t="s">
        <v>124</v>
      </c>
      <c r="AH1633" s="2">
        <v>44927</v>
      </c>
      <c r="AI1633" s="2">
        <v>45291</v>
      </c>
      <c r="AJ1633" s="2">
        <v>44927</v>
      </c>
    </row>
    <row r="1634" spans="1:36">
      <c r="A1634" s="1" t="str">
        <f>"ZEE3A05D24"</f>
        <v>ZEE3A05D24</v>
      </c>
      <c r="B1634" s="1" t="str">
        <f t="shared" si="39"/>
        <v>02406911202</v>
      </c>
      <c r="C1634" s="1" t="s">
        <v>13</v>
      </c>
      <c r="D1634" s="1" t="s">
        <v>1312</v>
      </c>
      <c r="E1634" s="1" t="s">
        <v>3535</v>
      </c>
      <c r="F1634" s="1" t="s">
        <v>49</v>
      </c>
      <c r="G1634" s="1" t="str">
        <f>"04372620155"</f>
        <v>04372620155</v>
      </c>
      <c r="I1634" s="1" t="s">
        <v>3536</v>
      </c>
      <c r="L1634" s="1" t="s">
        <v>44</v>
      </c>
      <c r="M1634" s="1" t="s">
        <v>3537</v>
      </c>
      <c r="AG1634" s="1" t="s">
        <v>3537</v>
      </c>
      <c r="AH1634" s="2">
        <v>44977</v>
      </c>
      <c r="AI1634" s="2">
        <v>44985</v>
      </c>
      <c r="AJ1634" s="2">
        <v>44977</v>
      </c>
    </row>
    <row r="1635" spans="1:36">
      <c r="A1635" s="1" t="str">
        <f>"Z463A1E71C"</f>
        <v>Z463A1E71C</v>
      </c>
      <c r="B1635" s="1" t="str">
        <f t="shared" si="39"/>
        <v>02406911202</v>
      </c>
      <c r="C1635" s="1" t="s">
        <v>13</v>
      </c>
      <c r="D1635" s="1" t="s">
        <v>1253</v>
      </c>
      <c r="E1635" s="1" t="s">
        <v>1262</v>
      </c>
      <c r="F1635" s="1" t="s">
        <v>49</v>
      </c>
      <c r="G1635" s="1" t="str">
        <f>"11654150157"</f>
        <v>11654150157</v>
      </c>
      <c r="I1635" s="1" t="s">
        <v>1468</v>
      </c>
      <c r="L1635" s="1" t="s">
        <v>44</v>
      </c>
      <c r="M1635" s="1" t="s">
        <v>1255</v>
      </c>
      <c r="AG1635" s="1" t="s">
        <v>3538</v>
      </c>
      <c r="AH1635" s="2">
        <v>44984</v>
      </c>
      <c r="AI1635" s="2">
        <v>45291</v>
      </c>
      <c r="AJ1635" s="2">
        <v>44984</v>
      </c>
    </row>
    <row r="1636" spans="1:36">
      <c r="A1636" s="1" t="str">
        <f>"Z883A715D3"</f>
        <v>Z883A715D3</v>
      </c>
      <c r="B1636" s="1" t="str">
        <f t="shared" si="39"/>
        <v>02406911202</v>
      </c>
      <c r="C1636" s="1" t="s">
        <v>13</v>
      </c>
      <c r="D1636" s="1" t="s">
        <v>1257</v>
      </c>
      <c r="E1636" s="1" t="s">
        <v>3539</v>
      </c>
      <c r="F1636" s="1" t="s">
        <v>49</v>
      </c>
      <c r="G1636" s="1" t="str">
        <f>"09563660969"</f>
        <v>09563660969</v>
      </c>
      <c r="I1636" s="1" t="s">
        <v>3540</v>
      </c>
      <c r="L1636" s="1" t="s">
        <v>44</v>
      </c>
      <c r="M1636" s="1" t="s">
        <v>3541</v>
      </c>
      <c r="AG1636" s="1" t="s">
        <v>3541</v>
      </c>
      <c r="AH1636" s="2">
        <v>45005</v>
      </c>
      <c r="AI1636" s="2">
        <v>45055</v>
      </c>
      <c r="AJ1636" s="2">
        <v>45005</v>
      </c>
    </row>
    <row r="1637" spans="1:36">
      <c r="A1637" s="1" t="str">
        <f>"Z883A715D3"</f>
        <v>Z883A715D3</v>
      </c>
      <c r="B1637" s="1" t="str">
        <f t="shared" si="39"/>
        <v>02406911202</v>
      </c>
      <c r="C1637" s="1" t="s">
        <v>13</v>
      </c>
      <c r="D1637" s="1" t="s">
        <v>1257</v>
      </c>
      <c r="E1637" s="1" t="s">
        <v>3539</v>
      </c>
      <c r="F1637" s="1" t="s">
        <v>49</v>
      </c>
      <c r="G1637" s="1" t="str">
        <f>"04948540960"</f>
        <v>04948540960</v>
      </c>
      <c r="I1637" s="1" t="s">
        <v>3542</v>
      </c>
      <c r="L1637" s="1" t="s">
        <v>41</v>
      </c>
      <c r="AJ1637" s="2">
        <v>45005</v>
      </c>
    </row>
    <row r="1638" spans="1:36">
      <c r="A1638" s="1" t="str">
        <f>"Z293A72275"</f>
        <v>Z293A72275</v>
      </c>
      <c r="B1638" s="1" t="str">
        <f t="shared" si="39"/>
        <v>02406911202</v>
      </c>
      <c r="C1638" s="1" t="s">
        <v>13</v>
      </c>
      <c r="D1638" s="1" t="s">
        <v>1312</v>
      </c>
      <c r="E1638" s="1" t="s">
        <v>3543</v>
      </c>
      <c r="F1638" s="1" t="s">
        <v>49</v>
      </c>
      <c r="G1638" s="1" t="str">
        <f>"01693020206"</f>
        <v>01693020206</v>
      </c>
      <c r="I1638" s="1" t="s">
        <v>1632</v>
      </c>
      <c r="L1638" s="1" t="s">
        <v>44</v>
      </c>
      <c r="M1638" s="1" t="s">
        <v>1314</v>
      </c>
      <c r="AG1638" s="1" t="s">
        <v>3544</v>
      </c>
      <c r="AH1638" s="2">
        <v>45005</v>
      </c>
      <c r="AI1638" s="2">
        <v>45351</v>
      </c>
      <c r="AJ1638" s="2">
        <v>45005</v>
      </c>
    </row>
    <row r="1639" spans="1:36">
      <c r="A1639" s="1" t="str">
        <f>"ZC53A7244E"</f>
        <v>ZC53A7244E</v>
      </c>
      <c r="B1639" s="1" t="str">
        <f t="shared" si="39"/>
        <v>02406911202</v>
      </c>
      <c r="C1639" s="1" t="s">
        <v>13</v>
      </c>
      <c r="D1639" s="1" t="s">
        <v>1253</v>
      </c>
      <c r="E1639" s="1" t="s">
        <v>1254</v>
      </c>
      <c r="F1639" s="1" t="s">
        <v>49</v>
      </c>
      <c r="G1639" s="1" t="str">
        <f>"02196770131"</f>
        <v>02196770131</v>
      </c>
      <c r="I1639" s="1" t="s">
        <v>3545</v>
      </c>
      <c r="L1639" s="1" t="s">
        <v>44</v>
      </c>
      <c r="M1639" s="1" t="s">
        <v>1255</v>
      </c>
      <c r="AG1639" s="1" t="s">
        <v>3546</v>
      </c>
      <c r="AH1639" s="2">
        <v>45005</v>
      </c>
      <c r="AI1639" s="2">
        <v>45291</v>
      </c>
      <c r="AJ1639" s="2">
        <v>45005</v>
      </c>
    </row>
    <row r="1640" spans="1:36">
      <c r="A1640" s="1" t="str">
        <f>"ZCB3A7425B"</f>
        <v>ZCB3A7425B</v>
      </c>
      <c r="B1640" s="1" t="str">
        <f t="shared" si="39"/>
        <v>02406911202</v>
      </c>
      <c r="C1640" s="1" t="s">
        <v>13</v>
      </c>
      <c r="D1640" s="1" t="s">
        <v>1253</v>
      </c>
      <c r="E1640" s="1" t="s">
        <v>1262</v>
      </c>
      <c r="F1640" s="1" t="s">
        <v>49</v>
      </c>
      <c r="G1640" s="1" t="str">
        <f>"11654150157"</f>
        <v>11654150157</v>
      </c>
      <c r="I1640" s="1" t="s">
        <v>1468</v>
      </c>
      <c r="L1640" s="1" t="s">
        <v>44</v>
      </c>
      <c r="M1640" s="1" t="s">
        <v>1255</v>
      </c>
      <c r="AG1640" s="1" t="s">
        <v>3547</v>
      </c>
      <c r="AH1640" s="2">
        <v>45006</v>
      </c>
      <c r="AI1640" s="2">
        <v>45291</v>
      </c>
      <c r="AJ1640" s="2">
        <v>45006</v>
      </c>
    </row>
    <row r="1641" spans="1:36">
      <c r="A1641" s="1" t="str">
        <f>"Z003A75C0A"</f>
        <v>Z003A75C0A</v>
      </c>
      <c r="B1641" s="1" t="str">
        <f t="shared" si="39"/>
        <v>02406911202</v>
      </c>
      <c r="C1641" s="1" t="s">
        <v>13</v>
      </c>
      <c r="D1641" s="1" t="s">
        <v>1257</v>
      </c>
      <c r="E1641" s="1" t="s">
        <v>3548</v>
      </c>
      <c r="F1641" s="1" t="s">
        <v>49</v>
      </c>
      <c r="G1641" s="1" t="str">
        <f>"02723670960"</f>
        <v>02723670960</v>
      </c>
      <c r="I1641" s="1" t="s">
        <v>3051</v>
      </c>
      <c r="L1641" s="1" t="s">
        <v>44</v>
      </c>
      <c r="M1641" s="1" t="s">
        <v>1397</v>
      </c>
      <c r="AG1641" s="1" t="s">
        <v>3549</v>
      </c>
      <c r="AH1641" s="2">
        <v>45006</v>
      </c>
      <c r="AI1641" s="2">
        <v>45291</v>
      </c>
      <c r="AJ1641" s="2">
        <v>45006</v>
      </c>
    </row>
    <row r="1642" spans="1:36">
      <c r="A1642" s="1" t="str">
        <f>"Z1A3A771C1"</f>
        <v>Z1A3A771C1</v>
      </c>
      <c r="B1642" s="1" t="str">
        <f t="shared" si="39"/>
        <v>02406911202</v>
      </c>
      <c r="C1642" s="1" t="s">
        <v>13</v>
      </c>
      <c r="D1642" s="1" t="s">
        <v>1253</v>
      </c>
      <c r="E1642" s="1" t="s">
        <v>1387</v>
      </c>
      <c r="F1642" s="1" t="s">
        <v>49</v>
      </c>
      <c r="G1642" s="1" t="str">
        <f>"00907371009"</f>
        <v>00907371009</v>
      </c>
      <c r="I1642" s="1" t="s">
        <v>1581</v>
      </c>
      <c r="L1642" s="1" t="s">
        <v>44</v>
      </c>
      <c r="M1642" s="1" t="s">
        <v>1255</v>
      </c>
      <c r="AG1642" s="1" t="s">
        <v>3550</v>
      </c>
      <c r="AH1642" s="2">
        <v>45006</v>
      </c>
      <c r="AI1642" s="2">
        <v>45291</v>
      </c>
      <c r="AJ1642" s="2">
        <v>45006</v>
      </c>
    </row>
    <row r="1643" spans="1:36">
      <c r="A1643" s="1" t="str">
        <f>"9611897454"</f>
        <v>9611897454</v>
      </c>
      <c r="B1643" s="1" t="str">
        <f t="shared" si="39"/>
        <v>02406911202</v>
      </c>
      <c r="C1643" s="1" t="s">
        <v>13</v>
      </c>
      <c r="D1643" s="1" t="s">
        <v>37</v>
      </c>
      <c r="E1643" s="1" t="s">
        <v>3551</v>
      </c>
      <c r="F1643" s="1" t="s">
        <v>117</v>
      </c>
      <c r="G1643" s="1" t="str">
        <f>"10051170156"</f>
        <v>10051170156</v>
      </c>
      <c r="I1643" s="1" t="s">
        <v>447</v>
      </c>
      <c r="L1643" s="1" t="s">
        <v>44</v>
      </c>
      <c r="M1643" s="1" t="s">
        <v>3552</v>
      </c>
      <c r="AG1643" s="1" t="s">
        <v>3553</v>
      </c>
      <c r="AH1643" s="2">
        <v>44943</v>
      </c>
      <c r="AI1643" s="2">
        <v>46022</v>
      </c>
      <c r="AJ1643" s="2">
        <v>44943</v>
      </c>
    </row>
    <row r="1644" spans="1:36">
      <c r="A1644" s="1" t="str">
        <f>"9611540DB6"</f>
        <v>9611540DB6</v>
      </c>
      <c r="B1644" s="1" t="str">
        <f t="shared" si="39"/>
        <v>02406911202</v>
      </c>
      <c r="C1644" s="1" t="s">
        <v>13</v>
      </c>
      <c r="D1644" s="1" t="s">
        <v>37</v>
      </c>
      <c r="E1644" s="1" t="s">
        <v>3554</v>
      </c>
      <c r="F1644" s="1" t="s">
        <v>117</v>
      </c>
      <c r="G1644" s="1" t="str">
        <f>"02944970348"</f>
        <v>02944970348</v>
      </c>
      <c r="I1644" s="1" t="s">
        <v>766</v>
      </c>
      <c r="L1644" s="1" t="s">
        <v>44</v>
      </c>
      <c r="M1644" s="1" t="s">
        <v>3555</v>
      </c>
      <c r="AG1644" s="1" t="s">
        <v>3556</v>
      </c>
      <c r="AH1644" s="2">
        <v>44943</v>
      </c>
      <c r="AI1644" s="2">
        <v>46022</v>
      </c>
      <c r="AJ1644" s="2">
        <v>44943</v>
      </c>
    </row>
    <row r="1645" spans="1:36">
      <c r="A1645" s="1" t="str">
        <f>"96116600C1"</f>
        <v>96116600C1</v>
      </c>
      <c r="B1645" s="1" t="str">
        <f t="shared" si="39"/>
        <v>02406911202</v>
      </c>
      <c r="C1645" s="1" t="s">
        <v>13</v>
      </c>
      <c r="D1645" s="1" t="s">
        <v>37</v>
      </c>
      <c r="E1645" s="1" t="s">
        <v>3557</v>
      </c>
      <c r="F1645" s="1" t="s">
        <v>117</v>
      </c>
      <c r="G1645" s="1" t="str">
        <f>"00907371009"</f>
        <v>00907371009</v>
      </c>
      <c r="I1645" s="1" t="s">
        <v>1581</v>
      </c>
      <c r="L1645" s="1" t="s">
        <v>44</v>
      </c>
      <c r="M1645" s="1" t="s">
        <v>3558</v>
      </c>
      <c r="AG1645" s="1" t="s">
        <v>3559</v>
      </c>
      <c r="AH1645" s="2">
        <v>44943</v>
      </c>
      <c r="AI1645" s="2">
        <v>46022</v>
      </c>
      <c r="AJ1645" s="2">
        <v>44943</v>
      </c>
    </row>
    <row r="1646" spans="1:36">
      <c r="A1646" s="1" t="str">
        <f>"96116887DA"</f>
        <v>96116887DA</v>
      </c>
      <c r="B1646" s="1" t="str">
        <f t="shared" si="39"/>
        <v>02406911202</v>
      </c>
      <c r="C1646" s="1" t="s">
        <v>13</v>
      </c>
      <c r="D1646" s="1" t="s">
        <v>37</v>
      </c>
      <c r="E1646" s="1" t="s">
        <v>3560</v>
      </c>
      <c r="F1646" s="1" t="s">
        <v>117</v>
      </c>
      <c r="G1646" s="1" t="str">
        <f>"00735390155"</f>
        <v>00735390155</v>
      </c>
      <c r="I1646" s="1" t="s">
        <v>3561</v>
      </c>
      <c r="L1646" s="1" t="s">
        <v>44</v>
      </c>
      <c r="M1646" s="1" t="s">
        <v>3562</v>
      </c>
      <c r="AG1646" s="1" t="s">
        <v>3563</v>
      </c>
      <c r="AH1646" s="2">
        <v>44943</v>
      </c>
      <c r="AI1646" s="2">
        <v>46022</v>
      </c>
      <c r="AJ1646" s="2">
        <v>44943</v>
      </c>
    </row>
    <row r="1647" spans="1:36">
      <c r="A1647" s="1" t="str">
        <f>"96116887DA"</f>
        <v>96116887DA</v>
      </c>
      <c r="B1647" s="1" t="str">
        <f t="shared" si="39"/>
        <v>02406911202</v>
      </c>
      <c r="C1647" s="1" t="s">
        <v>13</v>
      </c>
      <c r="D1647" s="1" t="s">
        <v>37</v>
      </c>
      <c r="E1647" s="1" t="s">
        <v>3560</v>
      </c>
      <c r="F1647" s="1" t="s">
        <v>117</v>
      </c>
      <c r="G1647" s="1" t="str">
        <f>"03542760172"</f>
        <v>03542760172</v>
      </c>
      <c r="I1647" s="1" t="s">
        <v>1460</v>
      </c>
      <c r="L1647" s="1" t="s">
        <v>44</v>
      </c>
      <c r="M1647" s="1" t="s">
        <v>3562</v>
      </c>
      <c r="AG1647" s="1" t="s">
        <v>3563</v>
      </c>
      <c r="AH1647" s="2">
        <v>44943</v>
      </c>
      <c r="AI1647" s="2">
        <v>46022</v>
      </c>
      <c r="AJ1647" s="2">
        <v>44943</v>
      </c>
    </row>
    <row r="1648" spans="1:36">
      <c r="A1648" s="1" t="str">
        <f>"9611732C28"</f>
        <v>9611732C28</v>
      </c>
      <c r="B1648" s="1" t="str">
        <f t="shared" si="39"/>
        <v>02406911202</v>
      </c>
      <c r="C1648" s="1" t="s">
        <v>13</v>
      </c>
      <c r="D1648" s="1" t="s">
        <v>37</v>
      </c>
      <c r="E1648" s="1" t="s">
        <v>3564</v>
      </c>
      <c r="F1648" s="1" t="s">
        <v>117</v>
      </c>
      <c r="G1648" s="1" t="str">
        <f>"05849130157"</f>
        <v>05849130157</v>
      </c>
      <c r="I1648" s="1" t="s">
        <v>354</v>
      </c>
      <c r="L1648" s="1" t="s">
        <v>44</v>
      </c>
      <c r="M1648" s="1" t="s">
        <v>3565</v>
      </c>
      <c r="AG1648" s="1" t="s">
        <v>3566</v>
      </c>
      <c r="AH1648" s="2">
        <v>44943</v>
      </c>
      <c r="AI1648" s="2">
        <v>46022</v>
      </c>
      <c r="AJ1648" s="2">
        <v>44943</v>
      </c>
    </row>
    <row r="1649" spans="1:36">
      <c r="A1649" s="1" t="str">
        <f>"96115115CA"</f>
        <v>96115115CA</v>
      </c>
      <c r="B1649" s="1" t="str">
        <f t="shared" si="39"/>
        <v>02406911202</v>
      </c>
      <c r="C1649" s="1" t="s">
        <v>13</v>
      </c>
      <c r="D1649" s="1" t="s">
        <v>37</v>
      </c>
      <c r="E1649" s="1" t="s">
        <v>3567</v>
      </c>
      <c r="F1649" s="1" t="s">
        <v>117</v>
      </c>
      <c r="G1649" s="1" t="str">
        <f>"13206920152"</f>
        <v>13206920152</v>
      </c>
      <c r="I1649" s="1" t="s">
        <v>3568</v>
      </c>
      <c r="L1649" s="1" t="s">
        <v>44</v>
      </c>
      <c r="M1649" s="1" t="s">
        <v>3569</v>
      </c>
      <c r="AG1649" s="1" t="s">
        <v>3570</v>
      </c>
      <c r="AH1649" s="2">
        <v>44943</v>
      </c>
      <c r="AI1649" s="2">
        <v>46022</v>
      </c>
      <c r="AJ1649" s="2">
        <v>44943</v>
      </c>
    </row>
    <row r="1650" spans="1:36">
      <c r="A1650" s="1" t="str">
        <f>"9611717FC6"</f>
        <v>9611717FC6</v>
      </c>
      <c r="B1650" s="1" t="str">
        <f t="shared" si="39"/>
        <v>02406911202</v>
      </c>
      <c r="C1650" s="1" t="s">
        <v>13</v>
      </c>
      <c r="D1650" s="1" t="s">
        <v>37</v>
      </c>
      <c r="E1650" s="1" t="s">
        <v>3571</v>
      </c>
      <c r="F1650" s="1" t="s">
        <v>117</v>
      </c>
      <c r="G1650" s="1" t="str">
        <f>"00421210485"</f>
        <v>00421210485</v>
      </c>
      <c r="I1650" s="1" t="s">
        <v>3572</v>
      </c>
      <c r="L1650" s="1" t="s">
        <v>44</v>
      </c>
      <c r="M1650" s="1" t="s">
        <v>3573</v>
      </c>
      <c r="AG1650" s="1" t="s">
        <v>3574</v>
      </c>
      <c r="AH1650" s="2">
        <v>44943</v>
      </c>
      <c r="AI1650" s="2">
        <v>46022</v>
      </c>
      <c r="AJ1650" s="2">
        <v>44943</v>
      </c>
    </row>
    <row r="1651" spans="1:36">
      <c r="A1651" s="1" t="str">
        <f>"Z3B399967D"</f>
        <v>Z3B399967D</v>
      </c>
      <c r="B1651" s="1" t="str">
        <f t="shared" si="39"/>
        <v>02406911202</v>
      </c>
      <c r="C1651" s="1" t="s">
        <v>13</v>
      </c>
      <c r="D1651" s="1" t="s">
        <v>1312</v>
      </c>
      <c r="E1651" s="1" t="s">
        <v>3575</v>
      </c>
      <c r="F1651" s="1" t="s">
        <v>49</v>
      </c>
      <c r="G1651" s="1" t="str">
        <f>"00805390283"</f>
        <v>00805390283</v>
      </c>
      <c r="I1651" s="1" t="s">
        <v>3576</v>
      </c>
      <c r="L1651" s="1" t="s">
        <v>44</v>
      </c>
      <c r="M1651" s="1" t="s">
        <v>1314</v>
      </c>
      <c r="AG1651" s="1" t="s">
        <v>3577</v>
      </c>
      <c r="AH1651" s="2">
        <v>44946</v>
      </c>
      <c r="AI1651" s="2">
        <v>45657</v>
      </c>
      <c r="AJ1651" s="2">
        <v>44946</v>
      </c>
    </row>
    <row r="1652" spans="1:36">
      <c r="A1652" s="1" t="str">
        <f>"ZE339BE6DF"</f>
        <v>ZE339BE6DF</v>
      </c>
      <c r="B1652" s="1" t="str">
        <f t="shared" si="39"/>
        <v>02406911202</v>
      </c>
      <c r="C1652" s="1" t="s">
        <v>13</v>
      </c>
      <c r="D1652" s="1" t="s">
        <v>1253</v>
      </c>
      <c r="E1652" s="1" t="s">
        <v>1317</v>
      </c>
      <c r="F1652" s="1" t="s">
        <v>49</v>
      </c>
      <c r="G1652" s="1" t="str">
        <f>"11570870961"</f>
        <v>11570870961</v>
      </c>
      <c r="I1652" s="1" t="s">
        <v>1597</v>
      </c>
      <c r="L1652" s="1" t="s">
        <v>44</v>
      </c>
      <c r="M1652" s="1" t="s">
        <v>1255</v>
      </c>
      <c r="AG1652" s="1" t="s">
        <v>3578</v>
      </c>
      <c r="AH1652" s="2">
        <v>44957</v>
      </c>
      <c r="AI1652" s="2">
        <v>45291</v>
      </c>
      <c r="AJ1652" s="2">
        <v>44957</v>
      </c>
    </row>
    <row r="1653" spans="1:36">
      <c r="A1653" s="1" t="str">
        <f>"ZB439C2B95"</f>
        <v>ZB439C2B95</v>
      </c>
      <c r="B1653" s="1" t="str">
        <f t="shared" si="39"/>
        <v>02406911202</v>
      </c>
      <c r="C1653" s="1" t="s">
        <v>13</v>
      </c>
      <c r="D1653" s="1" t="s">
        <v>37</v>
      </c>
      <c r="E1653" s="1" t="s">
        <v>3579</v>
      </c>
      <c r="F1653" s="1" t="s">
        <v>117</v>
      </c>
      <c r="G1653" s="1" t="str">
        <f>"05006721210"</f>
        <v>05006721210</v>
      </c>
      <c r="I1653" s="1" t="s">
        <v>3580</v>
      </c>
      <c r="L1653" s="1" t="s">
        <v>44</v>
      </c>
      <c r="M1653" s="1" t="s">
        <v>3581</v>
      </c>
      <c r="AG1653" s="1" t="s">
        <v>124</v>
      </c>
      <c r="AH1653" s="2">
        <v>44943</v>
      </c>
      <c r="AI1653" s="2">
        <v>46022</v>
      </c>
      <c r="AJ1653" s="2">
        <v>44943</v>
      </c>
    </row>
    <row r="1654" spans="1:36">
      <c r="A1654" s="1" t="str">
        <f>"9634345102"</f>
        <v>9634345102</v>
      </c>
      <c r="B1654" s="1" t="str">
        <f t="shared" si="39"/>
        <v>02406911202</v>
      </c>
      <c r="C1654" s="1" t="s">
        <v>13</v>
      </c>
      <c r="D1654" s="1" t="s">
        <v>37</v>
      </c>
      <c r="E1654" s="1" t="s">
        <v>3582</v>
      </c>
      <c r="F1654" s="1" t="s">
        <v>117</v>
      </c>
      <c r="G1654" s="1" t="str">
        <f>"01887000501"</f>
        <v>01887000501</v>
      </c>
      <c r="I1654" s="1" t="s">
        <v>3583</v>
      </c>
      <c r="L1654" s="1" t="s">
        <v>44</v>
      </c>
      <c r="M1654" s="1" t="s">
        <v>3584</v>
      </c>
      <c r="AG1654" s="1" t="s">
        <v>3585</v>
      </c>
      <c r="AH1654" s="2">
        <v>44943</v>
      </c>
      <c r="AI1654" s="2">
        <v>46022</v>
      </c>
      <c r="AJ1654" s="2">
        <v>44943</v>
      </c>
    </row>
    <row r="1655" spans="1:36">
      <c r="A1655" s="1" t="str">
        <f>"Z4839810D3"</f>
        <v>Z4839810D3</v>
      </c>
      <c r="B1655" s="1" t="str">
        <f t="shared" si="39"/>
        <v>02406911202</v>
      </c>
      <c r="C1655" s="1" t="s">
        <v>13</v>
      </c>
      <c r="D1655" s="1" t="s">
        <v>1741</v>
      </c>
      <c r="E1655" s="1" t="s">
        <v>3586</v>
      </c>
      <c r="F1655" s="1" t="s">
        <v>39</v>
      </c>
      <c r="G1655" s="1" t="str">
        <f>"02352960286"</f>
        <v>02352960286</v>
      </c>
      <c r="I1655" s="1" t="s">
        <v>3587</v>
      </c>
      <c r="L1655" s="1" t="s">
        <v>44</v>
      </c>
      <c r="M1655" s="1" t="s">
        <v>3588</v>
      </c>
      <c r="AG1655" s="1" t="s">
        <v>3588</v>
      </c>
      <c r="AH1655" s="2">
        <v>44939</v>
      </c>
      <c r="AI1655" s="2">
        <v>45291</v>
      </c>
      <c r="AJ1655" s="2">
        <v>44939</v>
      </c>
    </row>
    <row r="1656" spans="1:36">
      <c r="A1656" s="1" t="str">
        <f>"9701865844"</f>
        <v>9701865844</v>
      </c>
      <c r="B1656" s="1" t="str">
        <f t="shared" si="39"/>
        <v>02406911202</v>
      </c>
      <c r="C1656" s="1" t="s">
        <v>13</v>
      </c>
      <c r="D1656" s="1" t="s">
        <v>205</v>
      </c>
      <c r="E1656" s="1" t="s">
        <v>3589</v>
      </c>
      <c r="F1656" s="1" t="s">
        <v>39</v>
      </c>
      <c r="G1656" s="1" t="str">
        <f>"01054710379"</f>
        <v>01054710379</v>
      </c>
      <c r="I1656" s="1" t="s">
        <v>3590</v>
      </c>
      <c r="L1656" s="1" t="s">
        <v>44</v>
      </c>
      <c r="M1656" s="1" t="s">
        <v>3591</v>
      </c>
      <c r="AG1656" s="1" t="s">
        <v>3592</v>
      </c>
      <c r="AH1656" s="2">
        <v>44927</v>
      </c>
      <c r="AI1656" s="2">
        <v>45657</v>
      </c>
      <c r="AJ1656" s="2">
        <v>44927</v>
      </c>
    </row>
    <row r="1657" spans="1:36">
      <c r="A1657" s="1" t="str">
        <f>"ZF73A4BE48"</f>
        <v>ZF73A4BE48</v>
      </c>
      <c r="B1657" s="1" t="str">
        <f t="shared" si="39"/>
        <v>02406911202</v>
      </c>
      <c r="C1657" s="1" t="s">
        <v>13</v>
      </c>
      <c r="D1657" s="1" t="s">
        <v>1257</v>
      </c>
      <c r="E1657" s="1" t="s">
        <v>3593</v>
      </c>
      <c r="F1657" s="1" t="s">
        <v>49</v>
      </c>
      <c r="G1657" s="1" t="str">
        <f>"03957810280"</f>
        <v>03957810280</v>
      </c>
      <c r="I1657" s="1" t="s">
        <v>3594</v>
      </c>
      <c r="L1657" s="1" t="s">
        <v>44</v>
      </c>
      <c r="M1657" s="1" t="s">
        <v>153</v>
      </c>
      <c r="AG1657" s="1" t="s">
        <v>3595</v>
      </c>
      <c r="AH1657" s="2">
        <v>44994</v>
      </c>
      <c r="AI1657" s="2">
        <v>45291</v>
      </c>
      <c r="AJ1657" s="2">
        <v>44994</v>
      </c>
    </row>
    <row r="1658" spans="1:36">
      <c r="A1658" s="1" t="str">
        <f>"ZAD3A4BFE8"</f>
        <v>ZAD3A4BFE8</v>
      </c>
      <c r="B1658" s="1" t="str">
        <f t="shared" si="39"/>
        <v>02406911202</v>
      </c>
      <c r="C1658" s="1" t="s">
        <v>13</v>
      </c>
      <c r="D1658" s="1" t="s">
        <v>1253</v>
      </c>
      <c r="E1658" s="1" t="s">
        <v>1254</v>
      </c>
      <c r="F1658" s="1" t="s">
        <v>49</v>
      </c>
      <c r="G1658" s="1" t="str">
        <f>"02504130366"</f>
        <v>02504130366</v>
      </c>
      <c r="I1658" s="1" t="s">
        <v>3596</v>
      </c>
      <c r="L1658" s="1" t="s">
        <v>44</v>
      </c>
      <c r="M1658" s="1" t="s">
        <v>1255</v>
      </c>
      <c r="AG1658" s="1" t="s">
        <v>3597</v>
      </c>
      <c r="AH1658" s="2">
        <v>44994</v>
      </c>
      <c r="AI1658" s="2">
        <v>45291</v>
      </c>
      <c r="AJ1658" s="2">
        <v>44994</v>
      </c>
    </row>
    <row r="1659" spans="1:36">
      <c r="A1659" s="1" t="str">
        <f>"96861976A0"</f>
        <v>96861976A0</v>
      </c>
      <c r="B1659" s="1" t="str">
        <f t="shared" si="39"/>
        <v>02406911202</v>
      </c>
      <c r="C1659" s="1" t="s">
        <v>13</v>
      </c>
      <c r="D1659" s="1" t="s">
        <v>1312</v>
      </c>
      <c r="E1659" s="1" t="s">
        <v>3598</v>
      </c>
      <c r="F1659" s="1" t="s">
        <v>49</v>
      </c>
      <c r="G1659" s="1" t="str">
        <f>"01067490050"</f>
        <v>01067490050</v>
      </c>
      <c r="I1659" s="1" t="s">
        <v>1274</v>
      </c>
      <c r="L1659" s="1" t="s">
        <v>44</v>
      </c>
      <c r="M1659" s="1" t="s">
        <v>3599</v>
      </c>
      <c r="AG1659" s="1" t="s">
        <v>3600</v>
      </c>
      <c r="AH1659" s="2">
        <v>44994</v>
      </c>
      <c r="AI1659" s="2">
        <v>45565</v>
      </c>
      <c r="AJ1659" s="2">
        <v>44994</v>
      </c>
    </row>
    <row r="1660" spans="1:36">
      <c r="A1660" s="1" t="str">
        <f>"Z6D3A0E012"</f>
        <v>Z6D3A0E012</v>
      </c>
      <c r="B1660" s="1" t="str">
        <f t="shared" si="39"/>
        <v>02406911202</v>
      </c>
      <c r="C1660" s="1" t="s">
        <v>13</v>
      </c>
      <c r="D1660" s="1" t="s">
        <v>205</v>
      </c>
      <c r="E1660" s="1" t="s">
        <v>1686</v>
      </c>
      <c r="F1660" s="1" t="s">
        <v>39</v>
      </c>
      <c r="G1660" s="1" t="str">
        <f>"00731780961"</f>
        <v>00731780961</v>
      </c>
      <c r="I1660" s="1" t="s">
        <v>1766</v>
      </c>
      <c r="L1660" s="1" t="s">
        <v>44</v>
      </c>
      <c r="M1660" s="1" t="s">
        <v>638</v>
      </c>
      <c r="AG1660" s="1" t="s">
        <v>3601</v>
      </c>
      <c r="AH1660" s="2">
        <v>44927</v>
      </c>
      <c r="AI1660" s="2">
        <v>45291</v>
      </c>
      <c r="AJ1660" s="2">
        <v>44927</v>
      </c>
    </row>
    <row r="1661" spans="1:36">
      <c r="A1661" s="1" t="str">
        <f>"Z403A4E438"</f>
        <v>Z403A4E438</v>
      </c>
      <c r="B1661" s="1" t="str">
        <f t="shared" si="39"/>
        <v>02406911202</v>
      </c>
      <c r="C1661" s="1" t="s">
        <v>13</v>
      </c>
      <c r="D1661" s="1" t="s">
        <v>205</v>
      </c>
      <c r="E1661" s="1" t="s">
        <v>1686</v>
      </c>
      <c r="F1661" s="1" t="s">
        <v>39</v>
      </c>
      <c r="G1661" s="1" t="str">
        <f>"02629320348"</f>
        <v>02629320348</v>
      </c>
      <c r="I1661" s="1" t="s">
        <v>3602</v>
      </c>
      <c r="L1661" s="1" t="s">
        <v>44</v>
      </c>
      <c r="M1661" s="1" t="s">
        <v>917</v>
      </c>
      <c r="AG1661" s="1" t="s">
        <v>124</v>
      </c>
      <c r="AH1661" s="2">
        <v>44927</v>
      </c>
      <c r="AI1661" s="2">
        <v>45291</v>
      </c>
      <c r="AJ1661" s="2">
        <v>44927</v>
      </c>
    </row>
    <row r="1662" spans="1:36">
      <c r="A1662" s="1" t="str">
        <f>"ZA33A4E46E"</f>
        <v>ZA33A4E46E</v>
      </c>
      <c r="B1662" s="1" t="str">
        <f t="shared" si="39"/>
        <v>02406911202</v>
      </c>
      <c r="C1662" s="1" t="s">
        <v>13</v>
      </c>
      <c r="D1662" s="1" t="s">
        <v>205</v>
      </c>
      <c r="E1662" s="1" t="s">
        <v>1686</v>
      </c>
      <c r="F1662" s="1" t="s">
        <v>39</v>
      </c>
      <c r="G1662" s="1" t="str">
        <f>"01143710331"</f>
        <v>01143710331</v>
      </c>
      <c r="I1662" s="1" t="s">
        <v>3603</v>
      </c>
      <c r="L1662" s="1" t="s">
        <v>44</v>
      </c>
      <c r="M1662" s="1" t="s">
        <v>917</v>
      </c>
      <c r="AG1662" s="1" t="s">
        <v>124</v>
      </c>
      <c r="AH1662" s="2">
        <v>44927</v>
      </c>
      <c r="AI1662" s="2">
        <v>45291</v>
      </c>
      <c r="AJ1662" s="2">
        <v>44927</v>
      </c>
    </row>
    <row r="1663" spans="1:36">
      <c r="A1663" s="1" t="str">
        <f>"ZC13A4E5A7"</f>
        <v>ZC13A4E5A7</v>
      </c>
      <c r="B1663" s="1" t="str">
        <f t="shared" si="39"/>
        <v>02406911202</v>
      </c>
      <c r="C1663" s="1" t="s">
        <v>13</v>
      </c>
      <c r="D1663" s="1" t="s">
        <v>205</v>
      </c>
      <c r="E1663" s="1" t="s">
        <v>1686</v>
      </c>
      <c r="F1663" s="1" t="s">
        <v>39</v>
      </c>
      <c r="G1663" s="1" t="str">
        <f>"14996171006"</f>
        <v>14996171006</v>
      </c>
      <c r="I1663" s="1" t="s">
        <v>3241</v>
      </c>
      <c r="L1663" s="1" t="s">
        <v>44</v>
      </c>
      <c r="M1663" s="1" t="s">
        <v>638</v>
      </c>
      <c r="AG1663" s="1" t="s">
        <v>124</v>
      </c>
      <c r="AH1663" s="2">
        <v>44927</v>
      </c>
      <c r="AI1663" s="2">
        <v>45291</v>
      </c>
      <c r="AJ1663" s="2">
        <v>44927</v>
      </c>
    </row>
    <row r="1664" spans="1:36">
      <c r="A1664" s="1" t="str">
        <f>"ZE63A4E5D2"</f>
        <v>ZE63A4E5D2</v>
      </c>
      <c r="B1664" s="1" t="str">
        <f t="shared" si="39"/>
        <v>02406911202</v>
      </c>
      <c r="C1664" s="1" t="s">
        <v>13</v>
      </c>
      <c r="D1664" s="1" t="s">
        <v>205</v>
      </c>
      <c r="E1664" s="1" t="s">
        <v>1686</v>
      </c>
      <c r="F1664" s="1" t="s">
        <v>39</v>
      </c>
      <c r="G1664" s="1" t="str">
        <f>"00281560409"</f>
        <v>00281560409</v>
      </c>
      <c r="I1664" s="1" t="s">
        <v>3604</v>
      </c>
      <c r="L1664" s="1" t="s">
        <v>44</v>
      </c>
      <c r="M1664" s="1" t="s">
        <v>917</v>
      </c>
      <c r="AG1664" s="1" t="s">
        <v>3605</v>
      </c>
      <c r="AH1664" s="2">
        <v>44927</v>
      </c>
      <c r="AI1664" s="2">
        <v>45291</v>
      </c>
      <c r="AJ1664" s="2">
        <v>44927</v>
      </c>
    </row>
    <row r="1665" spans="1:36">
      <c r="A1665" s="1" t="str">
        <f>"Z753A0E81C"</f>
        <v>Z753A0E81C</v>
      </c>
      <c r="B1665" s="1" t="str">
        <f t="shared" si="39"/>
        <v>02406911202</v>
      </c>
      <c r="C1665" s="1" t="s">
        <v>13</v>
      </c>
      <c r="D1665" s="1" t="s">
        <v>205</v>
      </c>
      <c r="E1665" s="1" t="s">
        <v>1753</v>
      </c>
      <c r="F1665" s="1" t="s">
        <v>39</v>
      </c>
      <c r="G1665" s="1" t="str">
        <f>"00561331208"</f>
        <v>00561331208</v>
      </c>
      <c r="I1665" s="1" t="s">
        <v>3606</v>
      </c>
      <c r="L1665" s="1" t="s">
        <v>44</v>
      </c>
      <c r="M1665" s="1" t="s">
        <v>3607</v>
      </c>
      <c r="AG1665" s="1" t="s">
        <v>3608</v>
      </c>
      <c r="AH1665" s="2">
        <v>44927</v>
      </c>
      <c r="AI1665" s="2">
        <v>45291</v>
      </c>
      <c r="AJ1665" s="2">
        <v>44927</v>
      </c>
    </row>
    <row r="1666" spans="1:36">
      <c r="A1666" s="1" t="str">
        <f>"Z5A3A52EE1"</f>
        <v>Z5A3A52EE1</v>
      </c>
      <c r="B1666" s="1" t="str">
        <f t="shared" si="39"/>
        <v>02406911202</v>
      </c>
      <c r="C1666" s="1" t="s">
        <v>13</v>
      </c>
      <c r="D1666" s="1" t="s">
        <v>1312</v>
      </c>
      <c r="E1666" s="1" t="s">
        <v>1974</v>
      </c>
      <c r="F1666" s="1" t="s">
        <v>49</v>
      </c>
      <c r="G1666" s="1" t="str">
        <f>"02362631208"</f>
        <v>02362631208</v>
      </c>
      <c r="I1666" s="1" t="s">
        <v>3609</v>
      </c>
      <c r="L1666" s="1" t="s">
        <v>44</v>
      </c>
      <c r="M1666" s="1" t="s">
        <v>2391</v>
      </c>
      <c r="AG1666" s="1" t="s">
        <v>2391</v>
      </c>
      <c r="AH1666" s="2">
        <v>44986</v>
      </c>
      <c r="AI1666" s="2">
        <v>45016</v>
      </c>
      <c r="AJ1666" s="2">
        <v>44986</v>
      </c>
    </row>
    <row r="1667" spans="1:36">
      <c r="A1667" s="1" t="str">
        <f>"9664453EE6"</f>
        <v>9664453EE6</v>
      </c>
      <c r="B1667" s="1" t="str">
        <f t="shared" si="39"/>
        <v>02406911202</v>
      </c>
      <c r="C1667" s="1" t="s">
        <v>13</v>
      </c>
      <c r="D1667" s="1" t="s">
        <v>37</v>
      </c>
      <c r="E1667" s="1" t="s">
        <v>3610</v>
      </c>
      <c r="F1667" s="1" t="s">
        <v>39</v>
      </c>
      <c r="G1667" s="1" t="str">
        <f>"06814140965"</f>
        <v>06814140965</v>
      </c>
      <c r="I1667" s="1" t="s">
        <v>550</v>
      </c>
      <c r="L1667" s="1" t="s">
        <v>44</v>
      </c>
      <c r="M1667" s="1" t="s">
        <v>3611</v>
      </c>
      <c r="AG1667" s="1" t="s">
        <v>3612</v>
      </c>
      <c r="AH1667" s="2">
        <v>44995</v>
      </c>
      <c r="AI1667" s="2">
        <v>45725</v>
      </c>
      <c r="AJ1667" s="2">
        <v>44995</v>
      </c>
    </row>
    <row r="1668" spans="1:36">
      <c r="A1668" s="1" t="str">
        <f>"9664454FB9"</f>
        <v>9664454FB9</v>
      </c>
      <c r="B1668" s="1" t="str">
        <f t="shared" si="39"/>
        <v>02406911202</v>
      </c>
      <c r="C1668" s="1" t="s">
        <v>13</v>
      </c>
      <c r="D1668" s="1" t="s">
        <v>37</v>
      </c>
      <c r="E1668" s="1" t="s">
        <v>3613</v>
      </c>
      <c r="F1668" s="1" t="s">
        <v>39</v>
      </c>
      <c r="G1668" s="1" t="str">
        <f>"06814140965"</f>
        <v>06814140965</v>
      </c>
      <c r="I1668" s="1" t="s">
        <v>550</v>
      </c>
      <c r="L1668" s="1" t="s">
        <v>44</v>
      </c>
      <c r="M1668" s="1" t="s">
        <v>3614</v>
      </c>
      <c r="AG1668" s="1" t="s">
        <v>3615</v>
      </c>
      <c r="AH1668" s="2">
        <v>44995</v>
      </c>
      <c r="AI1668" s="2">
        <v>45725</v>
      </c>
      <c r="AJ1668" s="2">
        <v>44995</v>
      </c>
    </row>
    <row r="1669" spans="1:36">
      <c r="A1669" s="1" t="str">
        <f>"Z9A39898A9"</f>
        <v>Z9A39898A9</v>
      </c>
      <c r="B1669" s="1" t="str">
        <f t="shared" si="39"/>
        <v>02406911202</v>
      </c>
      <c r="C1669" s="1" t="s">
        <v>13</v>
      </c>
      <c r="D1669" s="1" t="s">
        <v>1253</v>
      </c>
      <c r="E1669" s="1" t="s">
        <v>1361</v>
      </c>
      <c r="F1669" s="1" t="s">
        <v>49</v>
      </c>
      <c r="G1669" s="1" t="str">
        <f>"03296950151"</f>
        <v>03296950151</v>
      </c>
      <c r="I1669" s="1" t="s">
        <v>3189</v>
      </c>
      <c r="L1669" s="1" t="s">
        <v>44</v>
      </c>
      <c r="M1669" s="1" t="s">
        <v>1255</v>
      </c>
      <c r="AG1669" s="1" t="s">
        <v>3616</v>
      </c>
      <c r="AH1669" s="2">
        <v>44943</v>
      </c>
      <c r="AI1669" s="2">
        <v>45291</v>
      </c>
      <c r="AJ1669" s="2">
        <v>44943</v>
      </c>
    </row>
    <row r="1670" spans="1:36">
      <c r="A1670" s="1" t="str">
        <f>"9625984D47"</f>
        <v>9625984D47</v>
      </c>
      <c r="B1670" s="1" t="str">
        <f t="shared" ref="B1670:B1733" si="40">"02406911202"</f>
        <v>02406911202</v>
      </c>
      <c r="C1670" s="1" t="s">
        <v>13</v>
      </c>
      <c r="D1670" s="1" t="s">
        <v>37</v>
      </c>
      <c r="E1670" s="1" t="s">
        <v>3617</v>
      </c>
      <c r="F1670" s="1" t="s">
        <v>117</v>
      </c>
      <c r="G1670" s="1" t="str">
        <f>"00204260285"</f>
        <v>00204260285</v>
      </c>
      <c r="I1670" s="1" t="s">
        <v>658</v>
      </c>
      <c r="L1670" s="1" t="s">
        <v>44</v>
      </c>
      <c r="M1670" s="1" t="s">
        <v>3618</v>
      </c>
      <c r="AG1670" s="1" t="s">
        <v>3619</v>
      </c>
      <c r="AH1670" s="2">
        <v>44943</v>
      </c>
      <c r="AI1670" s="2">
        <v>46022</v>
      </c>
      <c r="AJ1670" s="2">
        <v>44943</v>
      </c>
    </row>
    <row r="1671" spans="1:36">
      <c r="A1671" s="1" t="str">
        <f>"Z8139B80F6"</f>
        <v>Z8139B80F6</v>
      </c>
      <c r="B1671" s="1" t="str">
        <f t="shared" si="40"/>
        <v>02406911202</v>
      </c>
      <c r="C1671" s="1" t="s">
        <v>13</v>
      </c>
      <c r="D1671" s="1" t="s">
        <v>1257</v>
      </c>
      <c r="E1671" s="1" t="s">
        <v>3620</v>
      </c>
      <c r="F1671" s="1" t="s">
        <v>49</v>
      </c>
      <c r="G1671" s="1" t="str">
        <f>"10491670963"</f>
        <v>10491670963</v>
      </c>
      <c r="I1671" s="1" t="s">
        <v>3621</v>
      </c>
      <c r="L1671" s="1" t="s">
        <v>44</v>
      </c>
      <c r="M1671" s="1" t="s">
        <v>1397</v>
      </c>
      <c r="AG1671" s="1" t="s">
        <v>3622</v>
      </c>
      <c r="AH1671" s="2">
        <v>44956</v>
      </c>
      <c r="AI1671" s="2">
        <v>45291</v>
      </c>
      <c r="AJ1671" s="2">
        <v>44956</v>
      </c>
    </row>
    <row r="1672" spans="1:36">
      <c r="A1672" s="1" t="str">
        <f>"ZAB39BA4CB"</f>
        <v>ZAB39BA4CB</v>
      </c>
      <c r="B1672" s="1" t="str">
        <f t="shared" si="40"/>
        <v>02406911202</v>
      </c>
      <c r="C1672" s="1" t="s">
        <v>13</v>
      </c>
      <c r="D1672" s="1" t="s">
        <v>1253</v>
      </c>
      <c r="E1672" s="1" t="s">
        <v>3623</v>
      </c>
      <c r="F1672" s="1" t="s">
        <v>49</v>
      </c>
      <c r="G1672" s="1" t="str">
        <f>"12268050155"</f>
        <v>12268050155</v>
      </c>
      <c r="I1672" s="1" t="s">
        <v>2596</v>
      </c>
      <c r="L1672" s="1" t="s">
        <v>44</v>
      </c>
      <c r="M1672" s="1" t="s">
        <v>1255</v>
      </c>
      <c r="AG1672" s="1" t="s">
        <v>3624</v>
      </c>
      <c r="AH1672" s="2">
        <v>44956</v>
      </c>
      <c r="AI1672" s="2">
        <v>45291</v>
      </c>
      <c r="AJ1672" s="2">
        <v>44956</v>
      </c>
    </row>
    <row r="1673" spans="1:36">
      <c r="A1673" s="1" t="str">
        <f>"Z2B39DA951"</f>
        <v>Z2B39DA951</v>
      </c>
      <c r="B1673" s="1" t="str">
        <f t="shared" si="40"/>
        <v>02406911202</v>
      </c>
      <c r="C1673" s="1" t="s">
        <v>13</v>
      </c>
      <c r="D1673" s="1" t="s">
        <v>1253</v>
      </c>
      <c r="E1673" s="1" t="s">
        <v>1317</v>
      </c>
      <c r="F1673" s="1" t="s">
        <v>49</v>
      </c>
      <c r="G1673" s="1" t="str">
        <f>"03524050238"</f>
        <v>03524050238</v>
      </c>
      <c r="I1673" s="1" t="s">
        <v>593</v>
      </c>
      <c r="L1673" s="1" t="s">
        <v>44</v>
      </c>
      <c r="M1673" s="1" t="s">
        <v>1255</v>
      </c>
      <c r="AG1673" s="1" t="s">
        <v>3625</v>
      </c>
      <c r="AH1673" s="2">
        <v>44967</v>
      </c>
      <c r="AI1673" s="2">
        <v>45291</v>
      </c>
      <c r="AJ1673" s="2">
        <v>44967</v>
      </c>
    </row>
    <row r="1674" spans="1:36">
      <c r="A1674" s="1" t="str">
        <f>"9680094A44"</f>
        <v>9680094A44</v>
      </c>
      <c r="B1674" s="1" t="str">
        <f t="shared" si="40"/>
        <v>02406911202</v>
      </c>
      <c r="C1674" s="1" t="s">
        <v>13</v>
      </c>
      <c r="D1674" s="1" t="s">
        <v>37</v>
      </c>
      <c r="E1674" s="1" t="s">
        <v>3626</v>
      </c>
      <c r="F1674" s="1" t="s">
        <v>39</v>
      </c>
      <c r="G1674" s="1" t="str">
        <f>"00792270969"</f>
        <v>00792270969</v>
      </c>
      <c r="I1674" s="1" t="s">
        <v>3521</v>
      </c>
      <c r="L1674" s="1" t="s">
        <v>44</v>
      </c>
      <c r="M1674" s="1" t="s">
        <v>302</v>
      </c>
      <c r="AG1674" s="1" t="s">
        <v>3627</v>
      </c>
      <c r="AH1674" s="2">
        <v>44986</v>
      </c>
      <c r="AI1674" s="2">
        <v>45107</v>
      </c>
      <c r="AJ1674" s="2">
        <v>44986</v>
      </c>
    </row>
    <row r="1675" spans="1:36">
      <c r="A1675" s="1" t="str">
        <f>"968011184C"</f>
        <v>968011184C</v>
      </c>
      <c r="B1675" s="1" t="str">
        <f t="shared" si="40"/>
        <v>02406911202</v>
      </c>
      <c r="C1675" s="1" t="s">
        <v>13</v>
      </c>
      <c r="D1675" s="1" t="s">
        <v>37</v>
      </c>
      <c r="E1675" s="1" t="s">
        <v>3628</v>
      </c>
      <c r="F1675" s="1" t="s">
        <v>39</v>
      </c>
      <c r="G1675" s="1" t="str">
        <f>"09412650153"</f>
        <v>09412650153</v>
      </c>
      <c r="I1675" s="1" t="s">
        <v>3629</v>
      </c>
      <c r="L1675" s="1" t="s">
        <v>44</v>
      </c>
      <c r="M1675" s="1" t="s">
        <v>3630</v>
      </c>
      <c r="AG1675" s="1" t="s">
        <v>3631</v>
      </c>
      <c r="AH1675" s="2">
        <v>44986</v>
      </c>
      <c r="AI1675" s="2">
        <v>45107</v>
      </c>
      <c r="AJ1675" s="2">
        <v>44986</v>
      </c>
    </row>
    <row r="1676" spans="1:36">
      <c r="A1676" s="1" t="str">
        <f>"Z8E3A79BCE"</f>
        <v>Z8E3A79BCE</v>
      </c>
      <c r="B1676" s="1" t="str">
        <f t="shared" si="40"/>
        <v>02406911202</v>
      </c>
      <c r="C1676" s="1" t="s">
        <v>13</v>
      </c>
      <c r="D1676" s="1" t="s">
        <v>1253</v>
      </c>
      <c r="E1676" s="1" t="s">
        <v>1270</v>
      </c>
      <c r="F1676" s="1" t="s">
        <v>49</v>
      </c>
      <c r="G1676" s="1" t="str">
        <f>"12792100153"</f>
        <v>12792100153</v>
      </c>
      <c r="I1676" s="1" t="s">
        <v>803</v>
      </c>
      <c r="L1676" s="1" t="s">
        <v>44</v>
      </c>
      <c r="M1676" s="1" t="s">
        <v>153</v>
      </c>
      <c r="AG1676" s="1" t="s">
        <v>3632</v>
      </c>
      <c r="AH1676" s="2">
        <v>45007</v>
      </c>
      <c r="AI1676" s="2">
        <v>45291</v>
      </c>
      <c r="AJ1676" s="2">
        <v>45007</v>
      </c>
    </row>
    <row r="1677" spans="1:36">
      <c r="A1677" s="1" t="str">
        <f>"Z653A7B021"</f>
        <v>Z653A7B021</v>
      </c>
      <c r="B1677" s="1" t="str">
        <f t="shared" si="40"/>
        <v>02406911202</v>
      </c>
      <c r="C1677" s="1" t="s">
        <v>13</v>
      </c>
      <c r="D1677" s="1" t="s">
        <v>1257</v>
      </c>
      <c r="E1677" s="1" t="s">
        <v>3633</v>
      </c>
      <c r="F1677" s="1" t="s">
        <v>49</v>
      </c>
      <c r="G1677" s="1" t="str">
        <f>"05653560960"</f>
        <v>05653560960</v>
      </c>
      <c r="I1677" s="1" t="s">
        <v>3061</v>
      </c>
      <c r="L1677" s="1" t="s">
        <v>44</v>
      </c>
      <c r="M1677" s="1" t="s">
        <v>1397</v>
      </c>
      <c r="AG1677" s="1" t="s">
        <v>3634</v>
      </c>
      <c r="AH1677" s="2">
        <v>45007</v>
      </c>
      <c r="AI1677" s="2">
        <v>45291</v>
      </c>
      <c r="AJ1677" s="2">
        <v>45007</v>
      </c>
    </row>
    <row r="1678" spans="1:36">
      <c r="A1678" s="1" t="str">
        <f>"9413484CBB"</f>
        <v>9413484CBB</v>
      </c>
      <c r="B1678" s="1" t="str">
        <f t="shared" si="40"/>
        <v>02406911202</v>
      </c>
      <c r="C1678" s="1" t="s">
        <v>13</v>
      </c>
      <c r="D1678" s="1" t="s">
        <v>37</v>
      </c>
      <c r="E1678" s="1" t="s">
        <v>3635</v>
      </c>
      <c r="F1678" s="1" t="s">
        <v>431</v>
      </c>
      <c r="G1678" s="1" t="str">
        <f>"11030881004"</f>
        <v>11030881004</v>
      </c>
      <c r="I1678" s="1" t="s">
        <v>3031</v>
      </c>
      <c r="L1678" s="1" t="s">
        <v>44</v>
      </c>
      <c r="M1678" s="1" t="s">
        <v>3636</v>
      </c>
      <c r="AG1678" s="1" t="s">
        <v>124</v>
      </c>
      <c r="AH1678" s="2">
        <v>44958</v>
      </c>
      <c r="AI1678" s="2">
        <v>46418</v>
      </c>
      <c r="AJ1678" s="2">
        <v>44958</v>
      </c>
    </row>
    <row r="1679" spans="1:36">
      <c r="A1679" s="1" t="str">
        <f>"9413484CBB"</f>
        <v>9413484CBB</v>
      </c>
      <c r="B1679" s="1" t="str">
        <f t="shared" si="40"/>
        <v>02406911202</v>
      </c>
      <c r="C1679" s="1" t="s">
        <v>13</v>
      </c>
      <c r="D1679" s="1" t="s">
        <v>37</v>
      </c>
      <c r="E1679" s="1" t="s">
        <v>3635</v>
      </c>
      <c r="F1679" s="1" t="s">
        <v>431</v>
      </c>
      <c r="G1679" s="1" t="str">
        <f>"00309530376"</f>
        <v>00309530376</v>
      </c>
      <c r="I1679" s="1" t="s">
        <v>3637</v>
      </c>
      <c r="L1679" s="1" t="s">
        <v>41</v>
      </c>
      <c r="AJ1679" s="2">
        <v>44958</v>
      </c>
    </row>
    <row r="1680" spans="1:36">
      <c r="A1680" s="1" t="str">
        <f>"Z2939C323D"</f>
        <v>Z2939C323D</v>
      </c>
      <c r="B1680" s="1" t="str">
        <f t="shared" si="40"/>
        <v>02406911202</v>
      </c>
      <c r="C1680" s="1" t="s">
        <v>13</v>
      </c>
      <c r="D1680" s="1" t="s">
        <v>37</v>
      </c>
      <c r="E1680" s="1" t="s">
        <v>3638</v>
      </c>
      <c r="F1680" s="1" t="s">
        <v>117</v>
      </c>
      <c r="G1680" s="1" t="str">
        <f>"02457060032"</f>
        <v>02457060032</v>
      </c>
      <c r="I1680" s="1" t="s">
        <v>1263</v>
      </c>
      <c r="L1680" s="1" t="s">
        <v>44</v>
      </c>
      <c r="M1680" s="1" t="s">
        <v>3639</v>
      </c>
      <c r="AG1680" s="1" t="s">
        <v>3640</v>
      </c>
      <c r="AH1680" s="2">
        <v>44943</v>
      </c>
      <c r="AI1680" s="2">
        <v>46022</v>
      </c>
      <c r="AJ1680" s="2">
        <v>44943</v>
      </c>
    </row>
    <row r="1681" spans="1:36">
      <c r="A1681" s="1" t="str">
        <f>"9634827EC0"</f>
        <v>9634827EC0</v>
      </c>
      <c r="B1681" s="1" t="str">
        <f t="shared" si="40"/>
        <v>02406911202</v>
      </c>
      <c r="C1681" s="1" t="s">
        <v>13</v>
      </c>
      <c r="D1681" s="1" t="s">
        <v>37</v>
      </c>
      <c r="E1681" s="1" t="s">
        <v>3641</v>
      </c>
      <c r="F1681" s="1" t="s">
        <v>117</v>
      </c>
      <c r="G1681" s="1" t="str">
        <f>"00882341001"</f>
        <v>00882341001</v>
      </c>
      <c r="I1681" s="1" t="s">
        <v>2815</v>
      </c>
      <c r="L1681" s="1" t="s">
        <v>44</v>
      </c>
      <c r="M1681" s="1" t="s">
        <v>3642</v>
      </c>
      <c r="AG1681" s="1" t="s">
        <v>3643</v>
      </c>
      <c r="AH1681" s="2">
        <v>44943</v>
      </c>
      <c r="AI1681" s="2">
        <v>46022</v>
      </c>
      <c r="AJ1681" s="2">
        <v>44943</v>
      </c>
    </row>
    <row r="1682" spans="1:36">
      <c r="A1682" s="1" t="str">
        <f>"9634842B22"</f>
        <v>9634842B22</v>
      </c>
      <c r="B1682" s="1" t="str">
        <f t="shared" si="40"/>
        <v>02406911202</v>
      </c>
      <c r="C1682" s="1" t="s">
        <v>13</v>
      </c>
      <c r="D1682" s="1" t="s">
        <v>37</v>
      </c>
      <c r="E1682" s="1" t="s">
        <v>3644</v>
      </c>
      <c r="F1682" s="1" t="s">
        <v>117</v>
      </c>
      <c r="G1682" s="1" t="str">
        <f>"12736110151"</f>
        <v>12736110151</v>
      </c>
      <c r="I1682" s="1" t="s">
        <v>3645</v>
      </c>
      <c r="L1682" s="1" t="s">
        <v>44</v>
      </c>
      <c r="M1682" s="1" t="s">
        <v>3646</v>
      </c>
      <c r="AG1682" s="1" t="s">
        <v>3647</v>
      </c>
      <c r="AH1682" s="2">
        <v>44943</v>
      </c>
      <c r="AI1682" s="2">
        <v>46022</v>
      </c>
      <c r="AJ1682" s="2">
        <v>44943</v>
      </c>
    </row>
    <row r="1683" spans="1:36">
      <c r="A1683" s="1" t="str">
        <f>"Z7739C34A2"</f>
        <v>Z7739C34A2</v>
      </c>
      <c r="B1683" s="1" t="str">
        <f t="shared" si="40"/>
        <v>02406911202</v>
      </c>
      <c r="C1683" s="1" t="s">
        <v>13</v>
      </c>
      <c r="D1683" s="1" t="s">
        <v>37</v>
      </c>
      <c r="E1683" s="1" t="s">
        <v>3648</v>
      </c>
      <c r="F1683" s="1" t="s">
        <v>117</v>
      </c>
      <c r="G1683" s="1" t="str">
        <f>"08747570961"</f>
        <v>08747570961</v>
      </c>
      <c r="I1683" s="1" t="s">
        <v>3649</v>
      </c>
      <c r="L1683" s="1" t="s">
        <v>44</v>
      </c>
      <c r="M1683" s="1" t="s">
        <v>1374</v>
      </c>
      <c r="AG1683" s="1" t="s">
        <v>124</v>
      </c>
      <c r="AH1683" s="2">
        <v>44943</v>
      </c>
      <c r="AI1683" s="2">
        <v>46022</v>
      </c>
      <c r="AJ1683" s="2">
        <v>44943</v>
      </c>
    </row>
    <row r="1684" spans="1:36">
      <c r="A1684" s="1" t="str">
        <f>"9634877805"</f>
        <v>9634877805</v>
      </c>
      <c r="B1684" s="1" t="str">
        <f t="shared" si="40"/>
        <v>02406911202</v>
      </c>
      <c r="C1684" s="1" t="s">
        <v>13</v>
      </c>
      <c r="D1684" s="1" t="s">
        <v>37</v>
      </c>
      <c r="E1684" s="1" t="s">
        <v>3650</v>
      </c>
      <c r="F1684" s="1" t="s">
        <v>117</v>
      </c>
      <c r="G1684" s="1" t="str">
        <f>"00924251002"</f>
        <v>00924251002</v>
      </c>
      <c r="I1684" s="1" t="s">
        <v>3651</v>
      </c>
      <c r="L1684" s="1" t="s">
        <v>44</v>
      </c>
      <c r="M1684" s="1" t="s">
        <v>3652</v>
      </c>
      <c r="AG1684" s="1" t="s">
        <v>3653</v>
      </c>
      <c r="AH1684" s="2">
        <v>44943</v>
      </c>
      <c r="AI1684" s="2">
        <v>46022</v>
      </c>
      <c r="AJ1684" s="2">
        <v>44943</v>
      </c>
    </row>
    <row r="1685" spans="1:36">
      <c r="A1685" s="1" t="str">
        <f>"Z0439C3503"</f>
        <v>Z0439C3503</v>
      </c>
      <c r="B1685" s="1" t="str">
        <f t="shared" si="40"/>
        <v>02406911202</v>
      </c>
      <c r="C1685" s="1" t="s">
        <v>13</v>
      </c>
      <c r="D1685" s="1" t="s">
        <v>37</v>
      </c>
      <c r="E1685" s="1" t="s">
        <v>3654</v>
      </c>
      <c r="F1685" s="1" t="s">
        <v>117</v>
      </c>
      <c r="G1685" s="1" t="str">
        <f>"00953780962"</f>
        <v>00953780962</v>
      </c>
      <c r="I1685" s="1" t="s">
        <v>3252</v>
      </c>
      <c r="L1685" s="1" t="s">
        <v>44</v>
      </c>
      <c r="M1685" s="1" t="s">
        <v>3655</v>
      </c>
      <c r="AG1685" s="1" t="s">
        <v>124</v>
      </c>
      <c r="AH1685" s="2">
        <v>44943</v>
      </c>
      <c r="AI1685" s="2">
        <v>46022</v>
      </c>
      <c r="AJ1685" s="2">
        <v>44943</v>
      </c>
    </row>
    <row r="1686" spans="1:36">
      <c r="A1686" s="1" t="str">
        <f>"9634892467"</f>
        <v>9634892467</v>
      </c>
      <c r="B1686" s="1" t="str">
        <f t="shared" si="40"/>
        <v>02406911202</v>
      </c>
      <c r="C1686" s="1" t="s">
        <v>13</v>
      </c>
      <c r="D1686" s="1" t="s">
        <v>37</v>
      </c>
      <c r="E1686" s="1" t="s">
        <v>3656</v>
      </c>
      <c r="F1686" s="1" t="s">
        <v>117</v>
      </c>
      <c r="G1686" s="1" t="str">
        <f>"02532300122"</f>
        <v>02532300122</v>
      </c>
      <c r="I1686" s="1" t="s">
        <v>3657</v>
      </c>
      <c r="L1686" s="1" t="s">
        <v>44</v>
      </c>
      <c r="M1686" s="1" t="s">
        <v>3658</v>
      </c>
      <c r="AG1686" s="1" t="s">
        <v>3659</v>
      </c>
      <c r="AH1686" s="2">
        <v>44943</v>
      </c>
      <c r="AI1686" s="2">
        <v>46022</v>
      </c>
      <c r="AJ1686" s="2">
        <v>44943</v>
      </c>
    </row>
    <row r="1687" spans="1:36">
      <c r="A1687" s="1" t="str">
        <f>"963492714A"</f>
        <v>963492714A</v>
      </c>
      <c r="B1687" s="1" t="str">
        <f t="shared" si="40"/>
        <v>02406911202</v>
      </c>
      <c r="C1687" s="1" t="s">
        <v>13</v>
      </c>
      <c r="D1687" s="1" t="s">
        <v>37</v>
      </c>
      <c r="E1687" s="1" t="s">
        <v>3660</v>
      </c>
      <c r="F1687" s="1" t="s">
        <v>117</v>
      </c>
      <c r="G1687" s="1" t="str">
        <f>"02307520243"</f>
        <v>02307520243</v>
      </c>
      <c r="I1687" s="1" t="s">
        <v>1527</v>
      </c>
      <c r="L1687" s="1" t="s">
        <v>44</v>
      </c>
      <c r="M1687" s="1" t="s">
        <v>3661</v>
      </c>
      <c r="AG1687" s="1" t="s">
        <v>3662</v>
      </c>
      <c r="AH1687" s="2">
        <v>44943</v>
      </c>
      <c r="AI1687" s="2">
        <v>46022</v>
      </c>
      <c r="AJ1687" s="2">
        <v>44943</v>
      </c>
    </row>
    <row r="1688" spans="1:36">
      <c r="A1688" s="1" t="str">
        <f>"96187836D5"</f>
        <v>96187836D5</v>
      </c>
      <c r="B1688" s="1" t="str">
        <f t="shared" si="40"/>
        <v>02406911202</v>
      </c>
      <c r="C1688" s="1" t="s">
        <v>13</v>
      </c>
      <c r="D1688" s="1" t="s">
        <v>37</v>
      </c>
      <c r="E1688" s="1" t="s">
        <v>3663</v>
      </c>
      <c r="F1688" s="1" t="s">
        <v>117</v>
      </c>
      <c r="G1688" s="1" t="str">
        <f>"02890650548"</f>
        <v>02890650548</v>
      </c>
      <c r="I1688" s="1" t="s">
        <v>3664</v>
      </c>
      <c r="L1688" s="1" t="s">
        <v>44</v>
      </c>
      <c r="M1688" s="1" t="s">
        <v>3665</v>
      </c>
      <c r="AG1688" s="1" t="s">
        <v>3666</v>
      </c>
      <c r="AH1688" s="2">
        <v>44943</v>
      </c>
      <c r="AI1688" s="2">
        <v>46022</v>
      </c>
      <c r="AJ1688" s="2">
        <v>44943</v>
      </c>
    </row>
    <row r="1689" spans="1:36">
      <c r="A1689" s="1" t="str">
        <f>"96364867CF"</f>
        <v>96364867CF</v>
      </c>
      <c r="B1689" s="1" t="str">
        <f t="shared" si="40"/>
        <v>02406911202</v>
      </c>
      <c r="C1689" s="1" t="s">
        <v>13</v>
      </c>
      <c r="D1689" s="1" t="s">
        <v>37</v>
      </c>
      <c r="E1689" s="1" t="s">
        <v>3667</v>
      </c>
      <c r="F1689" s="1" t="s">
        <v>117</v>
      </c>
      <c r="G1689" s="1" t="str">
        <f>"11271521004"</f>
        <v>11271521004</v>
      </c>
      <c r="I1689" s="1" t="s">
        <v>3355</v>
      </c>
      <c r="L1689" s="1" t="s">
        <v>44</v>
      </c>
      <c r="M1689" s="1" t="s">
        <v>3668</v>
      </c>
      <c r="AG1689" s="1" t="s">
        <v>3669</v>
      </c>
      <c r="AH1689" s="2">
        <v>44943</v>
      </c>
      <c r="AI1689" s="2">
        <v>46022</v>
      </c>
      <c r="AJ1689" s="2">
        <v>44943</v>
      </c>
    </row>
    <row r="1690" spans="1:36">
      <c r="A1690" s="1" t="str">
        <f>"ZE739C150D"</f>
        <v>ZE739C150D</v>
      </c>
      <c r="B1690" s="1" t="str">
        <f t="shared" si="40"/>
        <v>02406911202</v>
      </c>
      <c r="C1690" s="1" t="s">
        <v>13</v>
      </c>
      <c r="D1690" s="1" t="s">
        <v>37</v>
      </c>
      <c r="E1690" s="1" t="s">
        <v>3670</v>
      </c>
      <c r="F1690" s="1" t="s">
        <v>117</v>
      </c>
      <c r="G1690" s="1" t="str">
        <f>"00887261006"</f>
        <v>00887261006</v>
      </c>
      <c r="I1690" s="1" t="s">
        <v>2041</v>
      </c>
      <c r="L1690" s="1" t="s">
        <v>44</v>
      </c>
      <c r="M1690" s="1" t="s">
        <v>3671</v>
      </c>
      <c r="AG1690" s="1" t="s">
        <v>3672</v>
      </c>
      <c r="AH1690" s="2">
        <v>44960</v>
      </c>
      <c r="AI1690" s="2">
        <v>45565</v>
      </c>
      <c r="AJ1690" s="2">
        <v>44960</v>
      </c>
    </row>
    <row r="1691" spans="1:36">
      <c r="A1691" s="1" t="str">
        <f>"ZF83A04753"</f>
        <v>ZF83A04753</v>
      </c>
      <c r="B1691" s="1" t="str">
        <f t="shared" si="40"/>
        <v>02406911202</v>
      </c>
      <c r="C1691" s="1" t="s">
        <v>13</v>
      </c>
      <c r="D1691" s="1" t="s">
        <v>1253</v>
      </c>
      <c r="E1691" s="1" t="s">
        <v>1387</v>
      </c>
      <c r="F1691" s="1" t="s">
        <v>49</v>
      </c>
      <c r="G1691" s="1" t="str">
        <f>"00226250165"</f>
        <v>00226250165</v>
      </c>
      <c r="I1691" s="1" t="s">
        <v>3143</v>
      </c>
      <c r="L1691" s="1" t="s">
        <v>44</v>
      </c>
      <c r="M1691" s="1" t="s">
        <v>1255</v>
      </c>
      <c r="AG1691" s="1" t="s">
        <v>3673</v>
      </c>
      <c r="AH1691" s="2">
        <v>44974</v>
      </c>
      <c r="AI1691" s="2">
        <v>45291</v>
      </c>
      <c r="AJ1691" s="2">
        <v>44974</v>
      </c>
    </row>
    <row r="1692" spans="1:36">
      <c r="A1692" s="1" t="str">
        <f>"Z5D3A563A7"</f>
        <v>Z5D3A563A7</v>
      </c>
      <c r="B1692" s="1" t="str">
        <f t="shared" si="40"/>
        <v>02406911202</v>
      </c>
      <c r="C1692" s="1" t="s">
        <v>13</v>
      </c>
      <c r="D1692" s="1" t="s">
        <v>1253</v>
      </c>
      <c r="E1692" s="1" t="s">
        <v>1260</v>
      </c>
      <c r="F1692" s="1" t="s">
        <v>49</v>
      </c>
      <c r="G1692" s="1" t="str">
        <f>"02803471206"</f>
        <v>02803471206</v>
      </c>
      <c r="I1692" s="1" t="s">
        <v>1638</v>
      </c>
      <c r="L1692" s="1" t="s">
        <v>44</v>
      </c>
      <c r="M1692" s="1" t="s">
        <v>1255</v>
      </c>
      <c r="AG1692" s="1" t="s">
        <v>1684</v>
      </c>
      <c r="AH1692" s="2">
        <v>44998</v>
      </c>
      <c r="AI1692" s="2">
        <v>45291</v>
      </c>
      <c r="AJ1692" s="2">
        <v>44998</v>
      </c>
    </row>
    <row r="1693" spans="1:36">
      <c r="A1693" s="1" t="str">
        <f>"Z6B3A56577"</f>
        <v>Z6B3A56577</v>
      </c>
      <c r="B1693" s="1" t="str">
        <f t="shared" si="40"/>
        <v>02406911202</v>
      </c>
      <c r="C1693" s="1" t="s">
        <v>13</v>
      </c>
      <c r="D1693" s="1" t="s">
        <v>1253</v>
      </c>
      <c r="E1693" s="1" t="s">
        <v>1260</v>
      </c>
      <c r="F1693" s="1" t="s">
        <v>49</v>
      </c>
      <c r="G1693" s="1" t="str">
        <f>"09012850153"</f>
        <v>09012850153</v>
      </c>
      <c r="I1693" s="1" t="s">
        <v>3674</v>
      </c>
      <c r="L1693" s="1" t="s">
        <v>44</v>
      </c>
      <c r="M1693" s="1" t="s">
        <v>1255</v>
      </c>
      <c r="AG1693" s="1" t="s">
        <v>124</v>
      </c>
      <c r="AH1693" s="2">
        <v>44998</v>
      </c>
      <c r="AI1693" s="2">
        <v>45291</v>
      </c>
      <c r="AJ1693" s="2">
        <v>44998</v>
      </c>
    </row>
    <row r="1694" spans="1:36">
      <c r="A1694" s="1" t="str">
        <f>"Z403A57168"</f>
        <v>Z403A57168</v>
      </c>
      <c r="B1694" s="1" t="str">
        <f t="shared" si="40"/>
        <v>02406911202</v>
      </c>
      <c r="C1694" s="1" t="s">
        <v>13</v>
      </c>
      <c r="D1694" s="1" t="s">
        <v>1312</v>
      </c>
      <c r="E1694" s="1" t="s">
        <v>3675</v>
      </c>
      <c r="F1694" s="1" t="s">
        <v>49</v>
      </c>
      <c r="G1694" s="1" t="str">
        <f>"03597020373"</f>
        <v>03597020373</v>
      </c>
      <c r="I1694" s="1" t="s">
        <v>920</v>
      </c>
      <c r="L1694" s="1" t="s">
        <v>44</v>
      </c>
      <c r="M1694" s="1" t="s">
        <v>1314</v>
      </c>
      <c r="AG1694" s="1" t="s">
        <v>3676</v>
      </c>
      <c r="AH1694" s="2">
        <v>44998</v>
      </c>
      <c r="AI1694" s="2">
        <v>45747</v>
      </c>
      <c r="AJ1694" s="2">
        <v>44998</v>
      </c>
    </row>
    <row r="1695" spans="1:36">
      <c r="A1695" s="1" t="str">
        <f>"ZD43990861"</f>
        <v>ZD43990861</v>
      </c>
      <c r="B1695" s="1" t="str">
        <f t="shared" si="40"/>
        <v>02406911202</v>
      </c>
      <c r="C1695" s="1" t="s">
        <v>13</v>
      </c>
      <c r="D1695" s="1" t="s">
        <v>1253</v>
      </c>
      <c r="E1695" s="1" t="s">
        <v>1260</v>
      </c>
      <c r="F1695" s="1" t="s">
        <v>49</v>
      </c>
      <c r="G1695" s="1" t="str">
        <f>"09270550016"</f>
        <v>09270550016</v>
      </c>
      <c r="I1695" s="1" t="s">
        <v>1328</v>
      </c>
      <c r="L1695" s="1" t="s">
        <v>44</v>
      </c>
      <c r="M1695" s="1" t="s">
        <v>1255</v>
      </c>
      <c r="AG1695" s="1" t="s">
        <v>3677</v>
      </c>
      <c r="AH1695" s="2">
        <v>44945</v>
      </c>
      <c r="AI1695" s="2">
        <v>45291</v>
      </c>
      <c r="AJ1695" s="2">
        <v>44945</v>
      </c>
    </row>
    <row r="1696" spans="1:36">
      <c r="A1696" s="1" t="str">
        <f>"96121759BC"</f>
        <v>96121759BC</v>
      </c>
      <c r="B1696" s="1" t="str">
        <f t="shared" si="40"/>
        <v>02406911202</v>
      </c>
      <c r="C1696" s="1" t="s">
        <v>13</v>
      </c>
      <c r="D1696" s="1" t="s">
        <v>37</v>
      </c>
      <c r="E1696" s="1" t="s">
        <v>3678</v>
      </c>
      <c r="F1696" s="1" t="s">
        <v>117</v>
      </c>
      <c r="G1696" s="1" t="str">
        <f>"06522300968"</f>
        <v>06522300968</v>
      </c>
      <c r="I1696" s="1" t="s">
        <v>3679</v>
      </c>
      <c r="L1696" s="1" t="s">
        <v>44</v>
      </c>
      <c r="M1696" s="1" t="s">
        <v>3680</v>
      </c>
      <c r="AG1696" s="1" t="s">
        <v>3681</v>
      </c>
      <c r="AH1696" s="2">
        <v>44943</v>
      </c>
      <c r="AI1696" s="2">
        <v>46022</v>
      </c>
      <c r="AJ1696" s="2">
        <v>44943</v>
      </c>
    </row>
    <row r="1697" spans="1:36">
      <c r="A1697" s="1" t="str">
        <f>"9612137A60"</f>
        <v>9612137A60</v>
      </c>
      <c r="B1697" s="1" t="str">
        <f t="shared" si="40"/>
        <v>02406911202</v>
      </c>
      <c r="C1697" s="1" t="s">
        <v>13</v>
      </c>
      <c r="D1697" s="1" t="s">
        <v>37</v>
      </c>
      <c r="E1697" s="1" t="s">
        <v>3682</v>
      </c>
      <c r="F1697" s="1" t="s">
        <v>117</v>
      </c>
      <c r="G1697" s="1" t="str">
        <f>"06184490966"</f>
        <v>06184490966</v>
      </c>
      <c r="I1697" s="1" t="s">
        <v>2034</v>
      </c>
      <c r="L1697" s="1" t="s">
        <v>44</v>
      </c>
      <c r="M1697" s="1" t="s">
        <v>3683</v>
      </c>
      <c r="AG1697" s="1" t="s">
        <v>3684</v>
      </c>
      <c r="AH1697" s="2">
        <v>44943</v>
      </c>
      <c r="AI1697" s="2">
        <v>46022</v>
      </c>
      <c r="AJ1697" s="2">
        <v>44943</v>
      </c>
    </row>
    <row r="1698" spans="1:36">
      <c r="A1698" s="1" t="str">
        <f>"ZDE398A616"</f>
        <v>ZDE398A616</v>
      </c>
      <c r="B1698" s="1" t="str">
        <f t="shared" si="40"/>
        <v>02406911202</v>
      </c>
      <c r="C1698" s="1" t="s">
        <v>13</v>
      </c>
      <c r="D1698" s="1" t="s">
        <v>205</v>
      </c>
      <c r="E1698" s="1" t="s">
        <v>3685</v>
      </c>
      <c r="F1698" s="1" t="s">
        <v>49</v>
      </c>
      <c r="G1698" s="1" t="str">
        <f>"10542311005"</f>
        <v>10542311005</v>
      </c>
      <c r="I1698" s="1" t="s">
        <v>2281</v>
      </c>
      <c r="L1698" s="1" t="s">
        <v>44</v>
      </c>
      <c r="M1698" s="1" t="s">
        <v>3686</v>
      </c>
      <c r="AG1698" s="1" t="s">
        <v>3686</v>
      </c>
      <c r="AH1698" s="2">
        <v>44946</v>
      </c>
      <c r="AI1698" s="2">
        <v>45291</v>
      </c>
      <c r="AJ1698" s="2">
        <v>44946</v>
      </c>
    </row>
    <row r="1699" spans="1:36">
      <c r="A1699" s="1" t="str">
        <f>"9611751BD6"</f>
        <v>9611751BD6</v>
      </c>
      <c r="B1699" s="1" t="str">
        <f t="shared" si="40"/>
        <v>02406911202</v>
      </c>
      <c r="C1699" s="1" t="s">
        <v>13</v>
      </c>
      <c r="D1699" s="1" t="s">
        <v>37</v>
      </c>
      <c r="E1699" s="1" t="s">
        <v>3687</v>
      </c>
      <c r="F1699" s="1" t="s">
        <v>117</v>
      </c>
      <c r="G1699" s="1" t="str">
        <f>"01726510595"</f>
        <v>01726510595</v>
      </c>
      <c r="I1699" s="1" t="s">
        <v>1991</v>
      </c>
      <c r="L1699" s="1" t="s">
        <v>44</v>
      </c>
      <c r="M1699" s="1" t="s">
        <v>3688</v>
      </c>
      <c r="AG1699" s="1" t="s">
        <v>124</v>
      </c>
      <c r="AH1699" s="2">
        <v>44943</v>
      </c>
      <c r="AI1699" s="2">
        <v>46022</v>
      </c>
      <c r="AJ1699" s="2">
        <v>44943</v>
      </c>
    </row>
    <row r="1700" spans="1:36">
      <c r="A1700" s="1" t="str">
        <f>"96002909EC"</f>
        <v>96002909EC</v>
      </c>
      <c r="B1700" s="1" t="str">
        <f t="shared" si="40"/>
        <v>02406911202</v>
      </c>
      <c r="C1700" s="1" t="s">
        <v>13</v>
      </c>
      <c r="D1700" s="1" t="s">
        <v>1312</v>
      </c>
      <c r="E1700" s="1" t="s">
        <v>3689</v>
      </c>
      <c r="F1700" s="1" t="s">
        <v>49</v>
      </c>
      <c r="G1700" s="1" t="str">
        <f>"12971700153"</f>
        <v>12971700153</v>
      </c>
      <c r="I1700" s="1" t="s">
        <v>3690</v>
      </c>
      <c r="L1700" s="1" t="s">
        <v>44</v>
      </c>
      <c r="M1700" s="1" t="s">
        <v>311</v>
      </c>
      <c r="AG1700" s="1" t="s">
        <v>3691</v>
      </c>
      <c r="AH1700" s="2">
        <v>44949</v>
      </c>
      <c r="AI1700" s="2">
        <v>45291</v>
      </c>
      <c r="AJ1700" s="2">
        <v>44949</v>
      </c>
    </row>
    <row r="1701" spans="1:36">
      <c r="A1701" s="1" t="str">
        <f>"962948673A"</f>
        <v>962948673A</v>
      </c>
      <c r="B1701" s="1" t="str">
        <f t="shared" si="40"/>
        <v>02406911202</v>
      </c>
      <c r="C1701" s="1" t="s">
        <v>13</v>
      </c>
      <c r="D1701" s="1" t="s">
        <v>37</v>
      </c>
      <c r="E1701" s="1" t="s">
        <v>2856</v>
      </c>
      <c r="F1701" s="1" t="s">
        <v>117</v>
      </c>
      <c r="G1701" s="1" t="str">
        <f>"00803890151"</f>
        <v>00803890151</v>
      </c>
      <c r="I1701" s="1" t="s">
        <v>68</v>
      </c>
      <c r="L1701" s="1" t="s">
        <v>44</v>
      </c>
      <c r="M1701" s="1" t="s">
        <v>911</v>
      </c>
      <c r="AG1701" s="1" t="s">
        <v>3692</v>
      </c>
      <c r="AH1701" s="2">
        <v>44958</v>
      </c>
      <c r="AI1701" s="2">
        <v>45138</v>
      </c>
      <c r="AJ1701" s="2">
        <v>44958</v>
      </c>
    </row>
    <row r="1702" spans="1:36">
      <c r="A1702" s="1" t="str">
        <f>"96296259EE"</f>
        <v>96296259EE</v>
      </c>
      <c r="B1702" s="1" t="str">
        <f t="shared" si="40"/>
        <v>02406911202</v>
      </c>
      <c r="C1702" s="1" t="s">
        <v>13</v>
      </c>
      <c r="D1702" s="1" t="s">
        <v>37</v>
      </c>
      <c r="E1702" s="1" t="s">
        <v>2856</v>
      </c>
      <c r="F1702" s="1" t="s">
        <v>117</v>
      </c>
      <c r="G1702" s="1" t="str">
        <f>"03597020373"</f>
        <v>03597020373</v>
      </c>
      <c r="I1702" s="1" t="s">
        <v>920</v>
      </c>
      <c r="L1702" s="1" t="s">
        <v>44</v>
      </c>
      <c r="M1702" s="1" t="s">
        <v>922</v>
      </c>
      <c r="AG1702" s="1" t="s">
        <v>3693</v>
      </c>
      <c r="AH1702" s="2">
        <v>44958</v>
      </c>
      <c r="AI1702" s="2">
        <v>45138</v>
      </c>
      <c r="AJ1702" s="2">
        <v>44958</v>
      </c>
    </row>
    <row r="1703" spans="1:36">
      <c r="A1703" s="1" t="str">
        <f>"96296427F6"</f>
        <v>96296427F6</v>
      </c>
      <c r="B1703" s="1" t="str">
        <f t="shared" si="40"/>
        <v>02406911202</v>
      </c>
      <c r="C1703" s="1" t="s">
        <v>13</v>
      </c>
      <c r="D1703" s="1" t="s">
        <v>37</v>
      </c>
      <c r="E1703" s="1" t="s">
        <v>2856</v>
      </c>
      <c r="F1703" s="1" t="s">
        <v>117</v>
      </c>
      <c r="G1703" s="1" t="str">
        <f>"02154270595"</f>
        <v>02154270595</v>
      </c>
      <c r="I1703" s="1" t="s">
        <v>928</v>
      </c>
      <c r="L1703" s="1" t="s">
        <v>44</v>
      </c>
      <c r="M1703" s="1" t="s">
        <v>930</v>
      </c>
      <c r="AG1703" s="1" t="s">
        <v>3694</v>
      </c>
      <c r="AH1703" s="2">
        <v>44958</v>
      </c>
      <c r="AI1703" s="2">
        <v>45138</v>
      </c>
      <c r="AJ1703" s="2">
        <v>44958</v>
      </c>
    </row>
    <row r="1704" spans="1:36">
      <c r="A1704" s="1" t="str">
        <f>"9319475210"</f>
        <v>9319475210</v>
      </c>
      <c r="B1704" s="1" t="str">
        <f t="shared" si="40"/>
        <v>02406911202</v>
      </c>
      <c r="C1704" s="1" t="s">
        <v>13</v>
      </c>
      <c r="D1704" s="1" t="s">
        <v>37</v>
      </c>
      <c r="E1704" s="1" t="s">
        <v>3695</v>
      </c>
      <c r="F1704" s="1" t="s">
        <v>431</v>
      </c>
      <c r="G1704" s="1" t="str">
        <f>"01779530466"</f>
        <v>01779530466</v>
      </c>
      <c r="I1704" s="1" t="s">
        <v>2037</v>
      </c>
      <c r="L1704" s="1" t="s">
        <v>44</v>
      </c>
      <c r="M1704" s="1" t="s">
        <v>3696</v>
      </c>
      <c r="AG1704" s="1" t="s">
        <v>3697</v>
      </c>
      <c r="AH1704" s="2">
        <v>44958</v>
      </c>
      <c r="AI1704" s="2">
        <v>46053</v>
      </c>
      <c r="AJ1704" s="2">
        <v>44958</v>
      </c>
    </row>
    <row r="1705" spans="1:36">
      <c r="A1705" s="1" t="str">
        <f>"Z0839B3630"</f>
        <v>Z0839B3630</v>
      </c>
      <c r="B1705" s="1" t="str">
        <f t="shared" si="40"/>
        <v>02406911202</v>
      </c>
      <c r="C1705" s="1" t="s">
        <v>13</v>
      </c>
      <c r="D1705" s="1" t="s">
        <v>37</v>
      </c>
      <c r="E1705" s="1" t="s">
        <v>3698</v>
      </c>
      <c r="F1705" s="1" t="s">
        <v>117</v>
      </c>
      <c r="G1705" s="1" t="str">
        <f>"01864361207"</f>
        <v>01864361207</v>
      </c>
      <c r="I1705" s="1" t="s">
        <v>3699</v>
      </c>
      <c r="L1705" s="1" t="s">
        <v>44</v>
      </c>
      <c r="M1705" s="1" t="s">
        <v>3700</v>
      </c>
      <c r="AG1705" s="1" t="s">
        <v>124</v>
      </c>
      <c r="AH1705" s="2">
        <v>44958</v>
      </c>
      <c r="AI1705" s="2">
        <v>45138</v>
      </c>
      <c r="AJ1705" s="2">
        <v>44958</v>
      </c>
    </row>
    <row r="1706" spans="1:36">
      <c r="A1706" s="1" t="str">
        <f>"Z0539B365C"</f>
        <v>Z0539B365C</v>
      </c>
      <c r="B1706" s="1" t="str">
        <f t="shared" si="40"/>
        <v>02406911202</v>
      </c>
      <c r="C1706" s="1" t="s">
        <v>13</v>
      </c>
      <c r="D1706" s="1" t="s">
        <v>37</v>
      </c>
      <c r="E1706" s="1" t="s">
        <v>3701</v>
      </c>
      <c r="F1706" s="1" t="s">
        <v>117</v>
      </c>
      <c r="G1706" s="1" t="str">
        <f>"12259760150"</f>
        <v>12259760150</v>
      </c>
      <c r="I1706" s="1" t="s">
        <v>1605</v>
      </c>
      <c r="L1706" s="1" t="s">
        <v>44</v>
      </c>
      <c r="M1706" s="1" t="s">
        <v>2739</v>
      </c>
      <c r="AG1706" s="1" t="s">
        <v>3702</v>
      </c>
      <c r="AH1706" s="2">
        <v>44958</v>
      </c>
      <c r="AI1706" s="2">
        <v>45138</v>
      </c>
      <c r="AJ1706" s="2">
        <v>44958</v>
      </c>
    </row>
    <row r="1707" spans="1:36">
      <c r="A1707" s="1" t="str">
        <f>"ZCE39B369C"</f>
        <v>ZCE39B369C</v>
      </c>
      <c r="B1707" s="1" t="str">
        <f t="shared" si="40"/>
        <v>02406911202</v>
      </c>
      <c r="C1707" s="1" t="s">
        <v>13</v>
      </c>
      <c r="D1707" s="1" t="s">
        <v>37</v>
      </c>
      <c r="E1707" s="1" t="s">
        <v>3703</v>
      </c>
      <c r="F1707" s="1" t="s">
        <v>117</v>
      </c>
      <c r="G1707" s="1" t="str">
        <f>"06828580966"</f>
        <v>06828580966</v>
      </c>
      <c r="I1707" s="1" t="s">
        <v>3704</v>
      </c>
      <c r="L1707" s="1" t="s">
        <v>44</v>
      </c>
      <c r="M1707" s="1" t="s">
        <v>2715</v>
      </c>
      <c r="AG1707" s="1" t="s">
        <v>124</v>
      </c>
      <c r="AH1707" s="2">
        <v>44958</v>
      </c>
      <c r="AI1707" s="2">
        <v>45138</v>
      </c>
      <c r="AJ1707" s="2">
        <v>44958</v>
      </c>
    </row>
    <row r="1708" spans="1:36">
      <c r="A1708" s="1" t="str">
        <f>"962546944C"</f>
        <v>962546944C</v>
      </c>
      <c r="B1708" s="1" t="str">
        <f t="shared" si="40"/>
        <v>02406911202</v>
      </c>
      <c r="C1708" s="1" t="s">
        <v>13</v>
      </c>
      <c r="D1708" s="1" t="s">
        <v>37</v>
      </c>
      <c r="E1708" s="1" t="s">
        <v>3705</v>
      </c>
      <c r="F1708" s="1" t="s">
        <v>117</v>
      </c>
      <c r="G1708" s="1" t="str">
        <f>"09238800156"</f>
        <v>09238800156</v>
      </c>
      <c r="I1708" s="1" t="s">
        <v>88</v>
      </c>
      <c r="L1708" s="1" t="s">
        <v>44</v>
      </c>
      <c r="M1708" s="1" t="s">
        <v>3706</v>
      </c>
      <c r="AG1708" s="1" t="s">
        <v>3707</v>
      </c>
      <c r="AH1708" s="2">
        <v>44958</v>
      </c>
      <c r="AI1708" s="2">
        <v>45138</v>
      </c>
      <c r="AJ1708" s="2">
        <v>44958</v>
      </c>
    </row>
    <row r="1709" spans="1:36">
      <c r="A1709" s="1" t="str">
        <f>"ZEC39B36DA"</f>
        <v>ZEC39B36DA</v>
      </c>
      <c r="B1709" s="1" t="str">
        <f t="shared" si="40"/>
        <v>02406911202</v>
      </c>
      <c r="C1709" s="1" t="s">
        <v>13</v>
      </c>
      <c r="D1709" s="1" t="s">
        <v>37</v>
      </c>
      <c r="E1709" s="1" t="s">
        <v>3708</v>
      </c>
      <c r="F1709" s="1" t="s">
        <v>117</v>
      </c>
      <c r="G1709" s="1" t="str">
        <f>"07609020966"</f>
        <v>07609020966</v>
      </c>
      <c r="I1709" s="1" t="s">
        <v>3709</v>
      </c>
      <c r="L1709" s="1" t="s">
        <v>44</v>
      </c>
      <c r="M1709" s="1" t="s">
        <v>3710</v>
      </c>
      <c r="AG1709" s="1" t="s">
        <v>124</v>
      </c>
      <c r="AH1709" s="2">
        <v>44958</v>
      </c>
      <c r="AI1709" s="2">
        <v>45138</v>
      </c>
      <c r="AJ1709" s="2">
        <v>44958</v>
      </c>
    </row>
    <row r="1710" spans="1:36">
      <c r="A1710" s="1" t="str">
        <f>"Z8E39D2625"</f>
        <v>Z8E39D2625</v>
      </c>
      <c r="B1710" s="1" t="str">
        <f t="shared" si="40"/>
        <v>02406911202</v>
      </c>
      <c r="C1710" s="1" t="s">
        <v>13</v>
      </c>
      <c r="D1710" s="1" t="s">
        <v>1312</v>
      </c>
      <c r="E1710" s="1" t="s">
        <v>3711</v>
      </c>
      <c r="F1710" s="1" t="s">
        <v>49</v>
      </c>
      <c r="G1710" s="1" t="str">
        <f>"00197370281"</f>
        <v>00197370281</v>
      </c>
      <c r="I1710" s="1" t="s">
        <v>1299</v>
      </c>
      <c r="L1710" s="1" t="s">
        <v>44</v>
      </c>
      <c r="M1710" s="1" t="s">
        <v>1735</v>
      </c>
      <c r="AG1710" s="1" t="s">
        <v>3712</v>
      </c>
      <c r="AH1710" s="2">
        <v>44963</v>
      </c>
      <c r="AI1710" s="2">
        <v>45657</v>
      </c>
      <c r="AJ1710" s="2">
        <v>44963</v>
      </c>
    </row>
    <row r="1711" spans="1:36">
      <c r="A1711" s="1" t="str">
        <f>"ZD039CB683"</f>
        <v>ZD039CB683</v>
      </c>
      <c r="B1711" s="1" t="str">
        <f t="shared" si="40"/>
        <v>02406911202</v>
      </c>
      <c r="C1711" s="1" t="s">
        <v>13</v>
      </c>
      <c r="D1711" s="1" t="s">
        <v>1253</v>
      </c>
      <c r="E1711" s="1" t="s">
        <v>1317</v>
      </c>
      <c r="F1711" s="1" t="s">
        <v>49</v>
      </c>
      <c r="G1711" s="1" t="str">
        <f>"02173550282"</f>
        <v>02173550282</v>
      </c>
      <c r="I1711" s="1" t="s">
        <v>634</v>
      </c>
      <c r="L1711" s="1" t="s">
        <v>44</v>
      </c>
      <c r="M1711" s="1" t="s">
        <v>1255</v>
      </c>
      <c r="AG1711" s="1" t="s">
        <v>3713</v>
      </c>
      <c r="AH1711" s="2">
        <v>44963</v>
      </c>
      <c r="AI1711" s="2">
        <v>45291</v>
      </c>
      <c r="AJ1711" s="2">
        <v>44963</v>
      </c>
    </row>
    <row r="1712" spans="1:36">
      <c r="A1712" s="1" t="str">
        <f>"Z6C3A03F01"</f>
        <v>Z6C3A03F01</v>
      </c>
      <c r="B1712" s="1" t="str">
        <f t="shared" si="40"/>
        <v>02406911202</v>
      </c>
      <c r="C1712" s="1" t="s">
        <v>13</v>
      </c>
      <c r="D1712" s="1" t="s">
        <v>1253</v>
      </c>
      <c r="E1712" s="1" t="s">
        <v>1317</v>
      </c>
      <c r="F1712" s="1" t="s">
        <v>49</v>
      </c>
      <c r="G1712" s="1" t="str">
        <f>"11206730159"</f>
        <v>11206730159</v>
      </c>
      <c r="I1712" s="1" t="s">
        <v>192</v>
      </c>
      <c r="L1712" s="1" t="s">
        <v>44</v>
      </c>
      <c r="M1712" s="1" t="s">
        <v>1255</v>
      </c>
      <c r="AG1712" s="1" t="s">
        <v>3714</v>
      </c>
      <c r="AH1712" s="2">
        <v>44981</v>
      </c>
      <c r="AI1712" s="2">
        <v>45291</v>
      </c>
      <c r="AJ1712" s="2">
        <v>44981</v>
      </c>
    </row>
    <row r="1713" spans="1:36">
      <c r="A1713" s="1" t="str">
        <f>"ZE83A7B7FC"</f>
        <v>ZE83A7B7FC</v>
      </c>
      <c r="B1713" s="1" t="str">
        <f t="shared" si="40"/>
        <v>02406911202</v>
      </c>
      <c r="C1713" s="1" t="s">
        <v>13</v>
      </c>
      <c r="D1713" s="1" t="s">
        <v>205</v>
      </c>
      <c r="E1713" s="1" t="s">
        <v>3715</v>
      </c>
      <c r="F1713" s="1" t="s">
        <v>49</v>
      </c>
      <c r="G1713" s="1" t="str">
        <f>"01596500387"</f>
        <v>01596500387</v>
      </c>
      <c r="I1713" s="1" t="s">
        <v>3716</v>
      </c>
      <c r="L1713" s="1" t="s">
        <v>44</v>
      </c>
      <c r="M1713" s="1" t="s">
        <v>3717</v>
      </c>
      <c r="AG1713" s="1" t="s">
        <v>3717</v>
      </c>
      <c r="AH1713" s="2">
        <v>45007</v>
      </c>
      <c r="AI1713" s="2">
        <v>45291</v>
      </c>
      <c r="AJ1713" s="2">
        <v>45007</v>
      </c>
    </row>
    <row r="1714" spans="1:36">
      <c r="A1714" s="1" t="str">
        <f>"952808694C"</f>
        <v>952808694C</v>
      </c>
      <c r="B1714" s="1" t="str">
        <f t="shared" si="40"/>
        <v>02406911202</v>
      </c>
      <c r="C1714" s="1" t="s">
        <v>13</v>
      </c>
      <c r="D1714" s="1" t="s">
        <v>37</v>
      </c>
      <c r="E1714" s="1" t="s">
        <v>3718</v>
      </c>
      <c r="F1714" s="1" t="s">
        <v>431</v>
      </c>
      <c r="G1714" s="1" t="str">
        <f>"03278841204"</f>
        <v>03278841204</v>
      </c>
      <c r="I1714" s="1" t="s">
        <v>3719</v>
      </c>
      <c r="L1714" s="1" t="s">
        <v>44</v>
      </c>
      <c r="M1714" s="1" t="s">
        <v>3720</v>
      </c>
      <c r="AG1714" s="1" t="s">
        <v>124</v>
      </c>
      <c r="AH1714" s="2">
        <v>44927</v>
      </c>
      <c r="AI1714" s="2">
        <v>46022</v>
      </c>
      <c r="AJ1714" s="2">
        <v>44927</v>
      </c>
    </row>
    <row r="1715" spans="1:36">
      <c r="A1715" s="1" t="str">
        <f>"Z953A7C6DF"</f>
        <v>Z953A7C6DF</v>
      </c>
      <c r="B1715" s="1" t="str">
        <f t="shared" si="40"/>
        <v>02406911202</v>
      </c>
      <c r="C1715" s="1" t="s">
        <v>13</v>
      </c>
      <c r="D1715" s="1" t="s">
        <v>205</v>
      </c>
      <c r="E1715" s="1" t="s">
        <v>3721</v>
      </c>
      <c r="F1715" s="1" t="s">
        <v>49</v>
      </c>
      <c r="G1715" s="1" t="str">
        <f>"01254610395"</f>
        <v>01254610395</v>
      </c>
      <c r="I1715" s="1" t="s">
        <v>3722</v>
      </c>
      <c r="L1715" s="1" t="s">
        <v>44</v>
      </c>
      <c r="M1715" s="1" t="s">
        <v>3723</v>
      </c>
      <c r="AG1715" s="1" t="s">
        <v>3723</v>
      </c>
      <c r="AH1715" s="2">
        <v>45007</v>
      </c>
      <c r="AI1715" s="2">
        <v>45291</v>
      </c>
      <c r="AJ1715" s="2">
        <v>45007</v>
      </c>
    </row>
    <row r="1716" spans="1:36">
      <c r="A1716" s="1" t="str">
        <f>"95340746C1"</f>
        <v>95340746C1</v>
      </c>
      <c r="B1716" s="1" t="str">
        <f t="shared" si="40"/>
        <v>02406911202</v>
      </c>
      <c r="C1716" s="1" t="s">
        <v>13</v>
      </c>
      <c r="D1716" s="1" t="s">
        <v>205</v>
      </c>
      <c r="E1716" s="1" t="s">
        <v>3724</v>
      </c>
      <c r="F1716" s="1" t="s">
        <v>117</v>
      </c>
      <c r="G1716" s="1" t="str">
        <f>"03156041208"</f>
        <v>03156041208</v>
      </c>
      <c r="I1716" s="1" t="s">
        <v>3725</v>
      </c>
      <c r="L1716" s="1" t="s">
        <v>44</v>
      </c>
      <c r="M1716" s="1" t="s">
        <v>3726</v>
      </c>
      <c r="AG1716" s="1" t="s">
        <v>3727</v>
      </c>
      <c r="AH1716" s="2">
        <v>44927</v>
      </c>
      <c r="AI1716" s="2">
        <v>45291</v>
      </c>
      <c r="AJ1716" s="2">
        <v>44927</v>
      </c>
    </row>
    <row r="1717" spans="1:36">
      <c r="A1717" s="1" t="str">
        <f>"95363626DF"</f>
        <v>95363626DF</v>
      </c>
      <c r="B1717" s="1" t="str">
        <f t="shared" si="40"/>
        <v>02406911202</v>
      </c>
      <c r="C1717" s="1" t="s">
        <v>13</v>
      </c>
      <c r="D1717" s="1" t="s">
        <v>205</v>
      </c>
      <c r="E1717" s="1" t="s">
        <v>3728</v>
      </c>
      <c r="F1717" s="1" t="s">
        <v>117</v>
      </c>
      <c r="G1717" s="1" t="str">
        <f>"02690880402"</f>
        <v>02690880402</v>
      </c>
      <c r="I1717" s="1" t="s">
        <v>1809</v>
      </c>
      <c r="L1717" s="1" t="s">
        <v>44</v>
      </c>
      <c r="M1717" s="1" t="s">
        <v>3729</v>
      </c>
      <c r="AG1717" s="1" t="s">
        <v>3730</v>
      </c>
      <c r="AH1717" s="2">
        <v>44927</v>
      </c>
      <c r="AI1717" s="2">
        <v>45291</v>
      </c>
      <c r="AJ1717" s="2">
        <v>44927</v>
      </c>
    </row>
    <row r="1718" spans="1:36">
      <c r="A1718" s="1" t="str">
        <f>"ZDD39B67C1"</f>
        <v>ZDD39B67C1</v>
      </c>
      <c r="B1718" s="1" t="str">
        <f t="shared" si="40"/>
        <v>02406911202</v>
      </c>
      <c r="C1718" s="1" t="s">
        <v>13</v>
      </c>
      <c r="D1718" s="1" t="s">
        <v>1257</v>
      </c>
      <c r="E1718" s="1" t="s">
        <v>3731</v>
      </c>
      <c r="F1718" s="1" t="s">
        <v>49</v>
      </c>
      <c r="G1718" s="1" t="str">
        <f>"02285440398"</f>
        <v>02285440398</v>
      </c>
      <c r="I1718" s="1" t="s">
        <v>3732</v>
      </c>
      <c r="L1718" s="1" t="s">
        <v>44</v>
      </c>
      <c r="M1718" s="1" t="s">
        <v>103</v>
      </c>
      <c r="AG1718" s="1" t="s">
        <v>3733</v>
      </c>
      <c r="AH1718" s="2">
        <v>44956</v>
      </c>
      <c r="AI1718" s="2">
        <v>45291</v>
      </c>
      <c r="AJ1718" s="2">
        <v>44956</v>
      </c>
    </row>
    <row r="1719" spans="1:36">
      <c r="A1719" s="1" t="str">
        <f>"ZF939C57AC"</f>
        <v>ZF939C57AC</v>
      </c>
      <c r="B1719" s="1" t="str">
        <f t="shared" si="40"/>
        <v>02406911202</v>
      </c>
      <c r="C1719" s="1" t="s">
        <v>13</v>
      </c>
      <c r="D1719" s="1" t="s">
        <v>1253</v>
      </c>
      <c r="E1719" s="1" t="s">
        <v>1387</v>
      </c>
      <c r="F1719" s="1" t="s">
        <v>49</v>
      </c>
      <c r="G1719" s="1" t="str">
        <f>"00226250165"</f>
        <v>00226250165</v>
      </c>
      <c r="I1719" s="1" t="s">
        <v>3143</v>
      </c>
      <c r="L1719" s="1" t="s">
        <v>44</v>
      </c>
      <c r="M1719" s="1" t="s">
        <v>1255</v>
      </c>
      <c r="AG1719" s="1" t="s">
        <v>3734</v>
      </c>
      <c r="AH1719" s="2">
        <v>44959</v>
      </c>
      <c r="AI1719" s="2">
        <v>45291</v>
      </c>
      <c r="AJ1719" s="2">
        <v>44959</v>
      </c>
    </row>
    <row r="1720" spans="1:36">
      <c r="A1720" s="1" t="str">
        <f>"ZF639C2DAF"</f>
        <v>ZF639C2DAF</v>
      </c>
      <c r="B1720" s="1" t="str">
        <f t="shared" si="40"/>
        <v>02406911202</v>
      </c>
      <c r="C1720" s="1" t="s">
        <v>13</v>
      </c>
      <c r="D1720" s="1" t="s">
        <v>37</v>
      </c>
      <c r="E1720" s="1" t="s">
        <v>3735</v>
      </c>
      <c r="F1720" s="1" t="s">
        <v>117</v>
      </c>
      <c r="G1720" s="1" t="str">
        <f>"04485620159"</f>
        <v>04485620159</v>
      </c>
      <c r="I1720" s="1" t="s">
        <v>3736</v>
      </c>
      <c r="L1720" s="1" t="s">
        <v>44</v>
      </c>
      <c r="M1720" s="1" t="s">
        <v>3737</v>
      </c>
      <c r="AG1720" s="1" t="s">
        <v>124</v>
      </c>
      <c r="AH1720" s="2">
        <v>44943</v>
      </c>
      <c r="AI1720" s="2">
        <v>46022</v>
      </c>
      <c r="AJ1720" s="2">
        <v>44943</v>
      </c>
    </row>
    <row r="1721" spans="1:36">
      <c r="A1721" s="1" t="str">
        <f>"9615108E1E"</f>
        <v>9615108E1E</v>
      </c>
      <c r="B1721" s="1" t="str">
        <f t="shared" si="40"/>
        <v>02406911202</v>
      </c>
      <c r="C1721" s="1" t="s">
        <v>13</v>
      </c>
      <c r="D1721" s="1" t="s">
        <v>205</v>
      </c>
      <c r="E1721" s="1" t="s">
        <v>3738</v>
      </c>
      <c r="F1721" s="1" t="s">
        <v>39</v>
      </c>
      <c r="G1721" s="1" t="str">
        <f>"02097550376"</f>
        <v>02097550376</v>
      </c>
      <c r="I1721" s="1" t="s">
        <v>3739</v>
      </c>
      <c r="L1721" s="1" t="s">
        <v>44</v>
      </c>
      <c r="M1721" s="1" t="s">
        <v>3740</v>
      </c>
      <c r="AG1721" s="1" t="s">
        <v>3741</v>
      </c>
      <c r="AH1721" s="2">
        <v>44927</v>
      </c>
      <c r="AI1721" s="2">
        <v>45657</v>
      </c>
      <c r="AJ1721" s="2">
        <v>44927</v>
      </c>
    </row>
    <row r="1722" spans="1:36">
      <c r="A1722" s="1" t="str">
        <f>"9474376668"</f>
        <v>9474376668</v>
      </c>
      <c r="B1722" s="1" t="str">
        <f t="shared" si="40"/>
        <v>02406911202</v>
      </c>
      <c r="C1722" s="1" t="s">
        <v>13</v>
      </c>
      <c r="D1722" s="1" t="s">
        <v>37</v>
      </c>
      <c r="E1722" s="1" t="s">
        <v>3742</v>
      </c>
      <c r="F1722" s="1" t="s">
        <v>99</v>
      </c>
      <c r="G1722" s="1" t="str">
        <f>"01334800396"</f>
        <v>01334800396</v>
      </c>
      <c r="I1722" s="1" t="s">
        <v>3743</v>
      </c>
      <c r="L1722" s="1" t="s">
        <v>44</v>
      </c>
      <c r="M1722" s="1" t="s">
        <v>3744</v>
      </c>
      <c r="AG1722" s="1" t="s">
        <v>3745</v>
      </c>
      <c r="AH1722" s="2">
        <v>44986</v>
      </c>
      <c r="AI1722" s="2">
        <v>46446</v>
      </c>
      <c r="AJ1722" s="2">
        <v>44986</v>
      </c>
    </row>
    <row r="1723" spans="1:36">
      <c r="A1723" s="1" t="str">
        <f>"95654066BD"</f>
        <v>95654066BD</v>
      </c>
      <c r="B1723" s="1" t="str">
        <f t="shared" si="40"/>
        <v>02406911202</v>
      </c>
      <c r="C1723" s="1" t="s">
        <v>13</v>
      </c>
      <c r="D1723" s="1" t="s">
        <v>37</v>
      </c>
      <c r="E1723" s="1" t="s">
        <v>3746</v>
      </c>
      <c r="F1723" s="1" t="s">
        <v>39</v>
      </c>
      <c r="G1723" s="1" t="str">
        <f>"11025740157"</f>
        <v>11025740157</v>
      </c>
      <c r="I1723" s="1" t="s">
        <v>1615</v>
      </c>
      <c r="L1723" s="1" t="s">
        <v>44</v>
      </c>
      <c r="M1723" s="1" t="s">
        <v>3747</v>
      </c>
      <c r="AG1723" s="1" t="s">
        <v>124</v>
      </c>
      <c r="AH1723" s="2">
        <v>44979</v>
      </c>
      <c r="AI1723" s="2">
        <v>45291</v>
      </c>
      <c r="AJ1723" s="2">
        <v>44979</v>
      </c>
    </row>
    <row r="1724" spans="1:36">
      <c r="A1724" s="1" t="str">
        <f>"Z993A6A0D4"</f>
        <v>Z993A6A0D4</v>
      </c>
      <c r="B1724" s="1" t="str">
        <f t="shared" si="40"/>
        <v>02406911202</v>
      </c>
      <c r="C1724" s="1" t="s">
        <v>13</v>
      </c>
      <c r="D1724" s="1" t="s">
        <v>1253</v>
      </c>
      <c r="E1724" s="1" t="s">
        <v>1254</v>
      </c>
      <c r="F1724" s="1" t="s">
        <v>49</v>
      </c>
      <c r="G1724" s="1" t="str">
        <f>"00495451205"</f>
        <v>00495451205</v>
      </c>
      <c r="I1724" s="1" t="s">
        <v>1320</v>
      </c>
      <c r="L1724" s="1" t="s">
        <v>44</v>
      </c>
      <c r="M1724" s="1" t="s">
        <v>1255</v>
      </c>
      <c r="AG1724" s="1" t="s">
        <v>3748</v>
      </c>
      <c r="AH1724" s="2">
        <v>45002</v>
      </c>
      <c r="AI1724" s="2">
        <v>45291</v>
      </c>
      <c r="AJ1724" s="2">
        <v>45002</v>
      </c>
    </row>
    <row r="1725" spans="1:36">
      <c r="A1725" s="1" t="str">
        <f>"Z623A6D5A8"</f>
        <v>Z623A6D5A8</v>
      </c>
      <c r="B1725" s="1" t="str">
        <f t="shared" si="40"/>
        <v>02406911202</v>
      </c>
      <c r="C1725" s="1" t="s">
        <v>13</v>
      </c>
      <c r="D1725" s="1" t="s">
        <v>1253</v>
      </c>
      <c r="E1725" s="1" t="s">
        <v>1387</v>
      </c>
      <c r="F1725" s="1" t="s">
        <v>49</v>
      </c>
      <c r="G1725" s="1" t="str">
        <f>"00226250165"</f>
        <v>00226250165</v>
      </c>
      <c r="I1725" s="1" t="s">
        <v>3143</v>
      </c>
      <c r="L1725" s="1" t="s">
        <v>44</v>
      </c>
      <c r="M1725" s="1" t="s">
        <v>1255</v>
      </c>
      <c r="AG1725" s="1" t="s">
        <v>3749</v>
      </c>
      <c r="AH1725" s="2">
        <v>45002</v>
      </c>
      <c r="AI1725" s="2">
        <v>45291</v>
      </c>
      <c r="AJ1725" s="2">
        <v>45002</v>
      </c>
    </row>
    <row r="1726" spans="1:36">
      <c r="A1726" s="1" t="str">
        <f>"Z743A68244"</f>
        <v>Z743A68244</v>
      </c>
      <c r="B1726" s="1" t="str">
        <f t="shared" si="40"/>
        <v>02406911202</v>
      </c>
      <c r="C1726" s="1" t="s">
        <v>13</v>
      </c>
      <c r="D1726" s="1" t="s">
        <v>37</v>
      </c>
      <c r="E1726" s="1" t="s">
        <v>2689</v>
      </c>
      <c r="F1726" s="1" t="s">
        <v>117</v>
      </c>
      <c r="G1726" s="1" t="str">
        <f>"03318780966"</f>
        <v>03318780966</v>
      </c>
      <c r="I1726" s="1" t="s">
        <v>1493</v>
      </c>
      <c r="L1726" s="1" t="s">
        <v>44</v>
      </c>
      <c r="M1726" s="1" t="s">
        <v>3750</v>
      </c>
      <c r="AG1726" s="1" t="s">
        <v>124</v>
      </c>
      <c r="AH1726" s="2">
        <v>45002</v>
      </c>
      <c r="AI1726" s="2">
        <v>45366</v>
      </c>
      <c r="AJ1726" s="2">
        <v>45002</v>
      </c>
    </row>
    <row r="1727" spans="1:36">
      <c r="A1727" s="1" t="str">
        <f>"Z5F3A6827D"</f>
        <v>Z5F3A6827D</v>
      </c>
      <c r="B1727" s="1" t="str">
        <f t="shared" si="40"/>
        <v>02406911202</v>
      </c>
      <c r="C1727" s="1" t="s">
        <v>13</v>
      </c>
      <c r="D1727" s="1" t="s">
        <v>37</v>
      </c>
      <c r="E1727" s="1" t="s">
        <v>2689</v>
      </c>
      <c r="F1727" s="1" t="s">
        <v>117</v>
      </c>
      <c r="G1727" s="1" t="str">
        <f>"00207810284"</f>
        <v>00207810284</v>
      </c>
      <c r="I1727" s="1" t="s">
        <v>2812</v>
      </c>
      <c r="L1727" s="1" t="s">
        <v>44</v>
      </c>
      <c r="M1727" s="1" t="s">
        <v>3751</v>
      </c>
      <c r="AG1727" s="1" t="s">
        <v>3752</v>
      </c>
      <c r="AH1727" s="2">
        <v>45002</v>
      </c>
      <c r="AI1727" s="2">
        <v>45366</v>
      </c>
      <c r="AJ1727" s="2">
        <v>45002</v>
      </c>
    </row>
    <row r="1728" spans="1:36">
      <c r="A1728" s="1" t="str">
        <f>"97181463C7"</f>
        <v>97181463C7</v>
      </c>
      <c r="B1728" s="1" t="str">
        <f t="shared" si="40"/>
        <v>02406911202</v>
      </c>
      <c r="C1728" s="1" t="s">
        <v>13</v>
      </c>
      <c r="D1728" s="1" t="s">
        <v>37</v>
      </c>
      <c r="E1728" s="1" t="s">
        <v>2689</v>
      </c>
      <c r="F1728" s="1" t="s">
        <v>117</v>
      </c>
      <c r="G1728" s="1" t="str">
        <f>"00953780962"</f>
        <v>00953780962</v>
      </c>
      <c r="I1728" s="1" t="s">
        <v>3252</v>
      </c>
      <c r="L1728" s="1" t="s">
        <v>44</v>
      </c>
      <c r="M1728" s="1" t="s">
        <v>3753</v>
      </c>
      <c r="AG1728" s="1" t="s">
        <v>3754</v>
      </c>
      <c r="AH1728" s="2">
        <v>45002</v>
      </c>
      <c r="AI1728" s="2">
        <v>45366</v>
      </c>
      <c r="AJ1728" s="2">
        <v>45002</v>
      </c>
    </row>
    <row r="1729" spans="1:36">
      <c r="A1729" s="1" t="str">
        <f>"96118383A4"</f>
        <v>96118383A4</v>
      </c>
      <c r="B1729" s="1" t="str">
        <f t="shared" si="40"/>
        <v>02406911202</v>
      </c>
      <c r="C1729" s="1" t="s">
        <v>13</v>
      </c>
      <c r="D1729" s="1" t="s">
        <v>37</v>
      </c>
      <c r="E1729" s="1" t="s">
        <v>3755</v>
      </c>
      <c r="F1729" s="1" t="s">
        <v>117</v>
      </c>
      <c r="G1729" s="1" t="str">
        <f>"02642020156"</f>
        <v>02642020156</v>
      </c>
      <c r="I1729" s="1" t="s">
        <v>253</v>
      </c>
      <c r="L1729" s="1" t="s">
        <v>44</v>
      </c>
      <c r="M1729" s="1" t="s">
        <v>3756</v>
      </c>
      <c r="AG1729" s="1" t="s">
        <v>3757</v>
      </c>
      <c r="AH1729" s="2">
        <v>44943</v>
      </c>
      <c r="AI1729" s="2">
        <v>46022</v>
      </c>
      <c r="AJ1729" s="2">
        <v>44943</v>
      </c>
    </row>
    <row r="1730" spans="1:36">
      <c r="A1730" s="1" t="str">
        <f>"9611775FA3"</f>
        <v>9611775FA3</v>
      </c>
      <c r="B1730" s="1" t="str">
        <f t="shared" si="40"/>
        <v>02406911202</v>
      </c>
      <c r="C1730" s="1" t="s">
        <v>13</v>
      </c>
      <c r="D1730" s="1" t="s">
        <v>37</v>
      </c>
      <c r="E1730" s="1" t="s">
        <v>3758</v>
      </c>
      <c r="F1730" s="1" t="s">
        <v>117</v>
      </c>
      <c r="G1730" s="1" t="str">
        <f>"04494061007"</f>
        <v>04494061007</v>
      </c>
      <c r="I1730" s="1" t="s">
        <v>3759</v>
      </c>
      <c r="L1730" s="1" t="s">
        <v>44</v>
      </c>
      <c r="M1730" s="1" t="s">
        <v>3760</v>
      </c>
      <c r="AG1730" s="1" t="s">
        <v>3761</v>
      </c>
      <c r="AH1730" s="2">
        <v>44943</v>
      </c>
      <c r="AI1730" s="2">
        <v>46022</v>
      </c>
      <c r="AJ1730" s="2">
        <v>44943</v>
      </c>
    </row>
    <row r="1731" spans="1:36">
      <c r="A1731" s="1" t="str">
        <f>"9611524086"</f>
        <v>9611524086</v>
      </c>
      <c r="B1731" s="1" t="str">
        <f t="shared" si="40"/>
        <v>02406911202</v>
      </c>
      <c r="C1731" s="1" t="s">
        <v>13</v>
      </c>
      <c r="D1731" s="1" t="s">
        <v>37</v>
      </c>
      <c r="E1731" s="1" t="s">
        <v>3762</v>
      </c>
      <c r="F1731" s="1" t="s">
        <v>117</v>
      </c>
      <c r="G1731" s="1" t="str">
        <f>"09190500968"</f>
        <v>09190500968</v>
      </c>
      <c r="I1731" s="1" t="s">
        <v>1702</v>
      </c>
      <c r="L1731" s="1" t="s">
        <v>44</v>
      </c>
      <c r="M1731" s="1" t="s">
        <v>3763</v>
      </c>
      <c r="AG1731" s="1" t="s">
        <v>3764</v>
      </c>
      <c r="AH1731" s="2">
        <v>44943</v>
      </c>
      <c r="AI1731" s="2">
        <v>46022</v>
      </c>
      <c r="AJ1731" s="2">
        <v>44943</v>
      </c>
    </row>
    <row r="1732" spans="1:36">
      <c r="A1732" s="1" t="str">
        <f>"9611524086"</f>
        <v>9611524086</v>
      </c>
      <c r="B1732" s="1" t="str">
        <f t="shared" si="40"/>
        <v>02406911202</v>
      </c>
      <c r="C1732" s="1" t="s">
        <v>13</v>
      </c>
      <c r="D1732" s="1" t="s">
        <v>37</v>
      </c>
      <c r="E1732" s="1" t="s">
        <v>3762</v>
      </c>
      <c r="F1732" s="1" t="s">
        <v>117</v>
      </c>
      <c r="G1732" s="1" t="str">
        <f>"00426150488"</f>
        <v>00426150488</v>
      </c>
      <c r="I1732" s="1" t="s">
        <v>2168</v>
      </c>
      <c r="L1732" s="1" t="s">
        <v>44</v>
      </c>
      <c r="M1732" s="1" t="s">
        <v>3763</v>
      </c>
      <c r="AG1732" s="1" t="s">
        <v>3764</v>
      </c>
      <c r="AH1732" s="2">
        <v>44943</v>
      </c>
      <c r="AI1732" s="2">
        <v>46022</v>
      </c>
      <c r="AJ1732" s="2">
        <v>44943</v>
      </c>
    </row>
    <row r="1733" spans="1:36">
      <c r="A1733" s="1" t="str">
        <f>"961518098A"</f>
        <v>961518098A</v>
      </c>
      <c r="B1733" s="1" t="str">
        <f t="shared" si="40"/>
        <v>02406911202</v>
      </c>
      <c r="C1733" s="1" t="s">
        <v>13</v>
      </c>
      <c r="D1733" s="1" t="s">
        <v>37</v>
      </c>
      <c r="E1733" s="1" t="s">
        <v>3765</v>
      </c>
      <c r="F1733" s="1" t="s">
        <v>117</v>
      </c>
      <c r="G1733" s="1" t="str">
        <f>"00212840235"</f>
        <v>00212840235</v>
      </c>
      <c r="I1733" s="1" t="s">
        <v>3380</v>
      </c>
      <c r="L1733" s="1" t="s">
        <v>44</v>
      </c>
      <c r="M1733" s="1" t="s">
        <v>3766</v>
      </c>
      <c r="AG1733" s="1" t="s">
        <v>3767</v>
      </c>
      <c r="AH1733" s="2">
        <v>44943</v>
      </c>
      <c r="AI1733" s="2">
        <v>46022</v>
      </c>
      <c r="AJ1733" s="2">
        <v>44943</v>
      </c>
    </row>
    <row r="1734" spans="1:36">
      <c r="A1734" s="1" t="str">
        <f>"9616153C7B"</f>
        <v>9616153C7B</v>
      </c>
      <c r="B1734" s="1" t="str">
        <f t="shared" ref="B1734:B1797" si="41">"02406911202"</f>
        <v>02406911202</v>
      </c>
      <c r="C1734" s="1" t="s">
        <v>13</v>
      </c>
      <c r="D1734" s="1" t="s">
        <v>37</v>
      </c>
      <c r="E1734" s="1" t="s">
        <v>3768</v>
      </c>
      <c r="F1734" s="1" t="s">
        <v>117</v>
      </c>
      <c r="G1734" s="1" t="str">
        <f>"00887261006"</f>
        <v>00887261006</v>
      </c>
      <c r="I1734" s="1" t="s">
        <v>2041</v>
      </c>
      <c r="L1734" s="1" t="s">
        <v>44</v>
      </c>
      <c r="M1734" s="1" t="s">
        <v>3769</v>
      </c>
      <c r="AG1734" s="1" t="s">
        <v>3770</v>
      </c>
      <c r="AH1734" s="2">
        <v>44943</v>
      </c>
      <c r="AI1734" s="2">
        <v>46022</v>
      </c>
      <c r="AJ1734" s="2">
        <v>44943</v>
      </c>
    </row>
    <row r="1735" spans="1:36">
      <c r="A1735" s="1" t="str">
        <f>"9616948C89"</f>
        <v>9616948C89</v>
      </c>
      <c r="B1735" s="1" t="str">
        <f t="shared" si="41"/>
        <v>02406911202</v>
      </c>
      <c r="C1735" s="1" t="s">
        <v>13</v>
      </c>
      <c r="D1735" s="1" t="s">
        <v>37</v>
      </c>
      <c r="E1735" s="1" t="s">
        <v>3771</v>
      </c>
      <c r="F1735" s="1" t="s">
        <v>117</v>
      </c>
      <c r="G1735" s="1" t="str">
        <f>"02385200122"</f>
        <v>02385200122</v>
      </c>
      <c r="I1735" s="1" t="s">
        <v>1929</v>
      </c>
      <c r="L1735" s="1" t="s">
        <v>44</v>
      </c>
      <c r="M1735" s="1" t="s">
        <v>3772</v>
      </c>
      <c r="AG1735" s="1" t="s">
        <v>3773</v>
      </c>
      <c r="AH1735" s="2">
        <v>44943</v>
      </c>
      <c r="AI1735" s="2">
        <v>46022</v>
      </c>
      <c r="AJ1735" s="2">
        <v>44943</v>
      </c>
    </row>
    <row r="1736" spans="1:36">
      <c r="A1736" s="1" t="str">
        <f>"Z333A0B110"</f>
        <v>Z333A0B110</v>
      </c>
      <c r="B1736" s="1" t="str">
        <f t="shared" si="41"/>
        <v>02406911202</v>
      </c>
      <c r="C1736" s="1" t="s">
        <v>13</v>
      </c>
      <c r="D1736" s="1" t="s">
        <v>1253</v>
      </c>
      <c r="E1736" s="1" t="s">
        <v>1270</v>
      </c>
      <c r="F1736" s="1" t="s">
        <v>49</v>
      </c>
      <c r="G1736" s="1" t="str">
        <f>"15438541003"</f>
        <v>15438541003</v>
      </c>
      <c r="I1736" s="1" t="s">
        <v>1670</v>
      </c>
      <c r="L1736" s="1" t="s">
        <v>44</v>
      </c>
      <c r="M1736" s="1" t="s">
        <v>153</v>
      </c>
      <c r="AG1736" s="1" t="s">
        <v>2847</v>
      </c>
      <c r="AH1736" s="2">
        <v>44978</v>
      </c>
      <c r="AI1736" s="2">
        <v>45291</v>
      </c>
      <c r="AJ1736" s="2">
        <v>44978</v>
      </c>
    </row>
    <row r="1737" spans="1:36">
      <c r="A1737" s="1" t="str">
        <f>"ZDB3A14B2D"</f>
        <v>ZDB3A14B2D</v>
      </c>
      <c r="B1737" s="1" t="str">
        <f t="shared" si="41"/>
        <v>02406911202</v>
      </c>
      <c r="C1737" s="1" t="s">
        <v>13</v>
      </c>
      <c r="D1737" s="1" t="s">
        <v>1257</v>
      </c>
      <c r="E1737" s="1" t="s">
        <v>3774</v>
      </c>
      <c r="F1737" s="1" t="s">
        <v>49</v>
      </c>
      <c r="G1737" s="1" t="str">
        <f>"09058160152"</f>
        <v>09058160152</v>
      </c>
      <c r="I1737" s="1" t="s">
        <v>1357</v>
      </c>
      <c r="L1737" s="1" t="s">
        <v>41</v>
      </c>
      <c r="AJ1737" s="2">
        <v>44980</v>
      </c>
    </row>
    <row r="1738" spans="1:36">
      <c r="A1738" s="1" t="str">
        <f>"ZDB3A14B2D"</f>
        <v>ZDB3A14B2D</v>
      </c>
      <c r="B1738" s="1" t="str">
        <f t="shared" si="41"/>
        <v>02406911202</v>
      </c>
      <c r="C1738" s="1" t="s">
        <v>13</v>
      </c>
      <c r="D1738" s="1" t="s">
        <v>1257</v>
      </c>
      <c r="E1738" s="1" t="s">
        <v>3774</v>
      </c>
      <c r="F1738" s="1" t="s">
        <v>49</v>
      </c>
      <c r="G1738" s="1" t="str">
        <f>"03992220966"</f>
        <v>03992220966</v>
      </c>
      <c r="I1738" s="1" t="s">
        <v>84</v>
      </c>
      <c r="L1738" s="1" t="s">
        <v>41</v>
      </c>
      <c r="AJ1738" s="2">
        <v>44980</v>
      </c>
    </row>
    <row r="1739" spans="1:36">
      <c r="A1739" s="1" t="str">
        <f>"ZDB3A14B2D"</f>
        <v>ZDB3A14B2D</v>
      </c>
      <c r="B1739" s="1" t="str">
        <f t="shared" si="41"/>
        <v>02406911202</v>
      </c>
      <c r="C1739" s="1" t="s">
        <v>13</v>
      </c>
      <c r="D1739" s="1" t="s">
        <v>1257</v>
      </c>
      <c r="E1739" s="1" t="s">
        <v>3774</v>
      </c>
      <c r="F1739" s="1" t="s">
        <v>49</v>
      </c>
      <c r="G1739" s="1" t="str">
        <f>"02704520341"</f>
        <v>02704520341</v>
      </c>
      <c r="I1739" s="1" t="s">
        <v>1429</v>
      </c>
      <c r="L1739" s="1" t="s">
        <v>44</v>
      </c>
      <c r="M1739" s="1" t="s">
        <v>3775</v>
      </c>
      <c r="AG1739" s="1" t="s">
        <v>124</v>
      </c>
      <c r="AH1739" s="2">
        <v>44980</v>
      </c>
      <c r="AI1739" s="2">
        <v>45005</v>
      </c>
      <c r="AJ1739" s="2">
        <v>44980</v>
      </c>
    </row>
    <row r="1740" spans="1:36">
      <c r="A1740" s="1" t="str">
        <f>"Z6E3A2DB3E"</f>
        <v>Z6E3A2DB3E</v>
      </c>
      <c r="B1740" s="1" t="str">
        <f t="shared" si="41"/>
        <v>02406911202</v>
      </c>
      <c r="C1740" s="1" t="s">
        <v>13</v>
      </c>
      <c r="D1740" s="1" t="s">
        <v>1312</v>
      </c>
      <c r="E1740" s="1" t="s">
        <v>3776</v>
      </c>
      <c r="F1740" s="1" t="s">
        <v>49</v>
      </c>
      <c r="G1740" s="1" t="str">
        <f>"01625451206"</f>
        <v>01625451206</v>
      </c>
      <c r="I1740" s="1" t="s">
        <v>3777</v>
      </c>
      <c r="L1740" s="1" t="s">
        <v>44</v>
      </c>
      <c r="M1740" s="1" t="s">
        <v>1735</v>
      </c>
      <c r="AG1740" s="1" t="s">
        <v>3778</v>
      </c>
      <c r="AH1740" s="2">
        <v>44986</v>
      </c>
      <c r="AI1740" s="2">
        <v>45291</v>
      </c>
      <c r="AJ1740" s="2">
        <v>44986</v>
      </c>
    </row>
    <row r="1741" spans="1:36">
      <c r="A1741" s="1" t="str">
        <f>"ZA83A7CCF9"</f>
        <v>ZA83A7CCF9</v>
      </c>
      <c r="B1741" s="1" t="str">
        <f t="shared" si="41"/>
        <v>02406911202</v>
      </c>
      <c r="C1741" s="1" t="s">
        <v>13</v>
      </c>
      <c r="D1741" s="1" t="s">
        <v>1253</v>
      </c>
      <c r="E1741" s="1" t="s">
        <v>1387</v>
      </c>
      <c r="F1741" s="1" t="s">
        <v>49</v>
      </c>
      <c r="G1741" s="1" t="str">
        <f>"11187430159"</f>
        <v>11187430159</v>
      </c>
      <c r="I1741" s="1" t="s">
        <v>460</v>
      </c>
      <c r="L1741" s="1" t="s">
        <v>44</v>
      </c>
      <c r="M1741" s="1" t="s">
        <v>153</v>
      </c>
      <c r="AG1741" s="1" t="s">
        <v>124</v>
      </c>
      <c r="AH1741" s="2">
        <v>45007</v>
      </c>
      <c r="AI1741" s="2">
        <v>45291</v>
      </c>
      <c r="AJ1741" s="2">
        <v>45007</v>
      </c>
    </row>
    <row r="1742" spans="1:36">
      <c r="A1742" s="1" t="str">
        <f>"9713200236"</f>
        <v>9713200236</v>
      </c>
      <c r="B1742" s="1" t="str">
        <f t="shared" si="41"/>
        <v>02406911202</v>
      </c>
      <c r="C1742" s="1" t="s">
        <v>13</v>
      </c>
      <c r="D1742" s="1" t="s">
        <v>1253</v>
      </c>
      <c r="E1742" s="1" t="s">
        <v>1260</v>
      </c>
      <c r="F1742" s="1" t="s">
        <v>49</v>
      </c>
      <c r="G1742" s="1" t="str">
        <f>"04289840268"</f>
        <v>04289840268</v>
      </c>
      <c r="I1742" s="1" t="s">
        <v>1296</v>
      </c>
      <c r="L1742" s="1" t="s">
        <v>44</v>
      </c>
      <c r="M1742" s="1" t="s">
        <v>2739</v>
      </c>
      <c r="AG1742" s="1" t="s">
        <v>3779</v>
      </c>
      <c r="AH1742" s="2">
        <v>45008</v>
      </c>
      <c r="AI1742" s="2">
        <v>45291</v>
      </c>
      <c r="AJ1742" s="2">
        <v>45008</v>
      </c>
    </row>
    <row r="1743" spans="1:36">
      <c r="A1743" s="1" t="str">
        <f>"9536583D3D"</f>
        <v>9536583D3D</v>
      </c>
      <c r="B1743" s="1" t="str">
        <f t="shared" si="41"/>
        <v>02406911202</v>
      </c>
      <c r="C1743" s="1" t="s">
        <v>13</v>
      </c>
      <c r="D1743" s="1" t="s">
        <v>205</v>
      </c>
      <c r="E1743" s="1" t="s">
        <v>3780</v>
      </c>
      <c r="F1743" s="1" t="s">
        <v>117</v>
      </c>
      <c r="G1743" s="1" t="str">
        <f>"02087570400"</f>
        <v>02087570400</v>
      </c>
      <c r="I1743" s="1" t="s">
        <v>3781</v>
      </c>
      <c r="L1743" s="1" t="s">
        <v>44</v>
      </c>
      <c r="M1743" s="1" t="s">
        <v>3782</v>
      </c>
      <c r="AG1743" s="1" t="s">
        <v>3783</v>
      </c>
      <c r="AH1743" s="2">
        <v>44927</v>
      </c>
      <c r="AI1743" s="2">
        <v>45291</v>
      </c>
      <c r="AJ1743" s="2">
        <v>44927</v>
      </c>
    </row>
    <row r="1744" spans="1:36">
      <c r="A1744" s="1" t="str">
        <f>"95366157A7"</f>
        <v>95366157A7</v>
      </c>
      <c r="B1744" s="1" t="str">
        <f t="shared" si="41"/>
        <v>02406911202</v>
      </c>
      <c r="C1744" s="1" t="s">
        <v>13</v>
      </c>
      <c r="D1744" s="1" t="s">
        <v>205</v>
      </c>
      <c r="E1744" s="1" t="s">
        <v>3784</v>
      </c>
      <c r="F1744" s="1" t="s">
        <v>117</v>
      </c>
      <c r="G1744" s="1" t="str">
        <f>"01088170392"</f>
        <v>01088170392</v>
      </c>
      <c r="I1744" s="1" t="s">
        <v>1812</v>
      </c>
      <c r="L1744" s="1" t="s">
        <v>44</v>
      </c>
      <c r="M1744" s="1" t="s">
        <v>3785</v>
      </c>
      <c r="AG1744" s="1" t="s">
        <v>124</v>
      </c>
      <c r="AH1744" s="2">
        <v>44927</v>
      </c>
      <c r="AI1744" s="2">
        <v>45291</v>
      </c>
      <c r="AJ1744" s="2">
        <v>44927</v>
      </c>
    </row>
    <row r="1745" spans="1:36">
      <c r="A1745" s="1" t="str">
        <f>"9536643EC0"</f>
        <v>9536643EC0</v>
      </c>
      <c r="B1745" s="1" t="str">
        <f t="shared" si="41"/>
        <v>02406911202</v>
      </c>
      <c r="C1745" s="1" t="s">
        <v>13</v>
      </c>
      <c r="D1745" s="1" t="s">
        <v>205</v>
      </c>
      <c r="E1745" s="1" t="s">
        <v>3786</v>
      </c>
      <c r="F1745" s="1" t="s">
        <v>117</v>
      </c>
      <c r="G1745" s="1" t="str">
        <f>"03146200401"</f>
        <v>03146200401</v>
      </c>
      <c r="I1745" s="1" t="s">
        <v>2704</v>
      </c>
      <c r="L1745" s="1" t="s">
        <v>44</v>
      </c>
      <c r="M1745" s="1" t="s">
        <v>3787</v>
      </c>
      <c r="AG1745" s="1" t="s">
        <v>3788</v>
      </c>
      <c r="AH1745" s="2">
        <v>44927</v>
      </c>
      <c r="AI1745" s="2">
        <v>45291</v>
      </c>
      <c r="AJ1745" s="2">
        <v>44927</v>
      </c>
    </row>
    <row r="1746" spans="1:36">
      <c r="A1746" s="1" t="str">
        <f>"95367528B5"</f>
        <v>95367528B5</v>
      </c>
      <c r="B1746" s="1" t="str">
        <f t="shared" si="41"/>
        <v>02406911202</v>
      </c>
      <c r="C1746" s="1" t="s">
        <v>13</v>
      </c>
      <c r="D1746" s="1" t="s">
        <v>205</v>
      </c>
      <c r="E1746" s="1" t="s">
        <v>3789</v>
      </c>
      <c r="F1746" s="1" t="s">
        <v>117</v>
      </c>
      <c r="G1746" s="1" t="str">
        <f>"03043241201"</f>
        <v>03043241201</v>
      </c>
      <c r="I1746" s="1" t="s">
        <v>1805</v>
      </c>
      <c r="L1746" s="1" t="s">
        <v>44</v>
      </c>
      <c r="M1746" s="1" t="s">
        <v>3790</v>
      </c>
      <c r="AG1746" s="1" t="s">
        <v>3791</v>
      </c>
      <c r="AH1746" s="2">
        <v>44927</v>
      </c>
      <c r="AI1746" s="2">
        <v>45291</v>
      </c>
      <c r="AJ1746" s="2">
        <v>44927</v>
      </c>
    </row>
    <row r="1747" spans="1:36">
      <c r="A1747" s="1" t="str">
        <f>"9536773A09"</f>
        <v>9536773A09</v>
      </c>
      <c r="B1747" s="1" t="str">
        <f t="shared" si="41"/>
        <v>02406911202</v>
      </c>
      <c r="C1747" s="1" t="s">
        <v>13</v>
      </c>
      <c r="D1747" s="1" t="s">
        <v>205</v>
      </c>
      <c r="E1747" s="1" t="s">
        <v>3792</v>
      </c>
      <c r="F1747" s="1" t="s">
        <v>117</v>
      </c>
      <c r="G1747" s="1" t="str">
        <f>"01088170392"</f>
        <v>01088170392</v>
      </c>
      <c r="I1747" s="1" t="s">
        <v>1812</v>
      </c>
      <c r="L1747" s="1" t="s">
        <v>44</v>
      </c>
      <c r="M1747" s="1" t="s">
        <v>3793</v>
      </c>
      <c r="AG1747" s="1" t="s">
        <v>3794</v>
      </c>
      <c r="AH1747" s="2">
        <v>44927</v>
      </c>
      <c r="AI1747" s="2">
        <v>45291</v>
      </c>
      <c r="AJ1747" s="2">
        <v>44927</v>
      </c>
    </row>
    <row r="1748" spans="1:36">
      <c r="A1748" s="1" t="str">
        <f>"9536796D03"</f>
        <v>9536796D03</v>
      </c>
      <c r="B1748" s="1" t="str">
        <f t="shared" si="41"/>
        <v>02406911202</v>
      </c>
      <c r="C1748" s="1" t="s">
        <v>13</v>
      </c>
      <c r="D1748" s="1" t="s">
        <v>205</v>
      </c>
      <c r="E1748" s="1" t="s">
        <v>3795</v>
      </c>
      <c r="F1748" s="1" t="s">
        <v>117</v>
      </c>
      <c r="G1748" s="1" t="str">
        <f>"02087570400"</f>
        <v>02087570400</v>
      </c>
      <c r="I1748" s="1" t="s">
        <v>3781</v>
      </c>
      <c r="L1748" s="1" t="s">
        <v>44</v>
      </c>
      <c r="M1748" s="1" t="s">
        <v>3796</v>
      </c>
      <c r="AG1748" s="1" t="s">
        <v>124</v>
      </c>
      <c r="AH1748" s="2">
        <v>44927</v>
      </c>
      <c r="AI1748" s="2">
        <v>45291</v>
      </c>
      <c r="AJ1748" s="2">
        <v>44927</v>
      </c>
    </row>
    <row r="1749" spans="1:36">
      <c r="A1749" s="1" t="str">
        <f>"ZD8399725E"</f>
        <v>ZD8399725E</v>
      </c>
      <c r="B1749" s="1" t="str">
        <f t="shared" si="41"/>
        <v>02406911202</v>
      </c>
      <c r="C1749" s="1" t="s">
        <v>13</v>
      </c>
      <c r="D1749" s="1" t="s">
        <v>1253</v>
      </c>
      <c r="E1749" s="1" t="s">
        <v>1387</v>
      </c>
      <c r="F1749" s="1" t="s">
        <v>49</v>
      </c>
      <c r="G1749" s="1" t="str">
        <f>"15281641009"</f>
        <v>15281641009</v>
      </c>
      <c r="I1749" s="1" t="s">
        <v>1332</v>
      </c>
      <c r="L1749" s="1" t="s">
        <v>44</v>
      </c>
      <c r="M1749" s="1" t="s">
        <v>1255</v>
      </c>
      <c r="AG1749" s="1" t="s">
        <v>1593</v>
      </c>
      <c r="AH1749" s="2">
        <v>44949</v>
      </c>
      <c r="AI1749" s="2">
        <v>45291</v>
      </c>
      <c r="AJ1749" s="2">
        <v>44949</v>
      </c>
    </row>
    <row r="1750" spans="1:36">
      <c r="A1750" s="1" t="str">
        <f>"Z0B39A5A64"</f>
        <v>Z0B39A5A64</v>
      </c>
      <c r="B1750" s="1" t="str">
        <f t="shared" si="41"/>
        <v>02406911202</v>
      </c>
      <c r="C1750" s="1" t="s">
        <v>13</v>
      </c>
      <c r="D1750" s="1" t="s">
        <v>1253</v>
      </c>
      <c r="E1750" s="1" t="s">
        <v>1317</v>
      </c>
      <c r="F1750" s="1" t="s">
        <v>49</v>
      </c>
      <c r="G1750" s="1" t="str">
        <f>"01736720994"</f>
        <v>01736720994</v>
      </c>
      <c r="I1750" s="1" t="s">
        <v>80</v>
      </c>
      <c r="L1750" s="1" t="s">
        <v>44</v>
      </c>
      <c r="M1750" s="1" t="s">
        <v>1255</v>
      </c>
      <c r="AG1750" s="1" t="s">
        <v>3797</v>
      </c>
      <c r="AH1750" s="2">
        <v>44951</v>
      </c>
      <c r="AI1750" s="2">
        <v>45291</v>
      </c>
      <c r="AJ1750" s="2">
        <v>44951</v>
      </c>
    </row>
    <row r="1751" spans="1:36">
      <c r="A1751" s="1" t="str">
        <f>"9413465D0D"</f>
        <v>9413465D0D</v>
      </c>
      <c r="B1751" s="1" t="str">
        <f t="shared" si="41"/>
        <v>02406911202</v>
      </c>
      <c r="C1751" s="1" t="s">
        <v>13</v>
      </c>
      <c r="D1751" s="1" t="s">
        <v>37</v>
      </c>
      <c r="E1751" s="1" t="s">
        <v>3798</v>
      </c>
      <c r="F1751" s="1" t="s">
        <v>431</v>
      </c>
      <c r="G1751" s="1" t="str">
        <f>"11030881004"</f>
        <v>11030881004</v>
      </c>
      <c r="I1751" s="1" t="s">
        <v>3031</v>
      </c>
      <c r="L1751" s="1" t="s">
        <v>44</v>
      </c>
      <c r="M1751" s="1" t="s">
        <v>3799</v>
      </c>
      <c r="AG1751" s="1" t="s">
        <v>3800</v>
      </c>
      <c r="AH1751" s="2">
        <v>44958</v>
      </c>
      <c r="AI1751" s="2">
        <v>46418</v>
      </c>
      <c r="AJ1751" s="2">
        <v>44958</v>
      </c>
    </row>
    <row r="1752" spans="1:36">
      <c r="A1752" s="1" t="str">
        <f>"Z593A14397"</f>
        <v>Z593A14397</v>
      </c>
      <c r="B1752" s="1" t="str">
        <f t="shared" si="41"/>
        <v>02406911202</v>
      </c>
      <c r="C1752" s="1" t="s">
        <v>13</v>
      </c>
      <c r="D1752" s="1" t="s">
        <v>1257</v>
      </c>
      <c r="E1752" s="1" t="s">
        <v>3801</v>
      </c>
      <c r="F1752" s="1" t="s">
        <v>49</v>
      </c>
      <c r="G1752" s="1" t="str">
        <f>"02503150373"</f>
        <v>02503150373</v>
      </c>
      <c r="I1752" s="1" t="s">
        <v>2197</v>
      </c>
      <c r="L1752" s="1" t="s">
        <v>44</v>
      </c>
      <c r="M1752" s="1" t="s">
        <v>509</v>
      </c>
      <c r="AG1752" s="1" t="s">
        <v>3802</v>
      </c>
      <c r="AH1752" s="2">
        <v>44980</v>
      </c>
      <c r="AI1752" s="2">
        <v>45291</v>
      </c>
      <c r="AJ1752" s="2">
        <v>44980</v>
      </c>
    </row>
    <row r="1753" spans="1:36">
      <c r="A1753" s="1" t="str">
        <f>"Z5A3A143DC"</f>
        <v>Z5A3A143DC</v>
      </c>
      <c r="B1753" s="1" t="str">
        <f t="shared" si="41"/>
        <v>02406911202</v>
      </c>
      <c r="C1753" s="1" t="s">
        <v>13</v>
      </c>
      <c r="D1753" s="1" t="s">
        <v>1257</v>
      </c>
      <c r="E1753" s="1" t="s">
        <v>3803</v>
      </c>
      <c r="F1753" s="1" t="s">
        <v>49</v>
      </c>
      <c r="G1753" s="1" t="str">
        <f>"10059810159"</f>
        <v>10059810159</v>
      </c>
      <c r="I1753" s="1" t="s">
        <v>3804</v>
      </c>
      <c r="L1753" s="1" t="s">
        <v>44</v>
      </c>
      <c r="M1753" s="1" t="s">
        <v>509</v>
      </c>
      <c r="AG1753" s="1" t="s">
        <v>947</v>
      </c>
      <c r="AH1753" s="2">
        <v>44980</v>
      </c>
      <c r="AI1753" s="2">
        <v>45291</v>
      </c>
      <c r="AJ1753" s="2">
        <v>44980</v>
      </c>
    </row>
    <row r="1754" spans="1:36">
      <c r="A1754" s="1" t="str">
        <f>"9672595DE4"</f>
        <v>9672595DE4</v>
      </c>
      <c r="B1754" s="1" t="str">
        <f t="shared" si="41"/>
        <v>02406911202</v>
      </c>
      <c r="C1754" s="1" t="s">
        <v>13</v>
      </c>
      <c r="D1754" s="1" t="s">
        <v>37</v>
      </c>
      <c r="E1754" s="1" t="s">
        <v>3805</v>
      </c>
      <c r="F1754" s="1" t="s">
        <v>39</v>
      </c>
      <c r="G1754" s="1" t="str">
        <f>"01260981004"</f>
        <v>01260981004</v>
      </c>
      <c r="I1754" s="1" t="s">
        <v>2044</v>
      </c>
      <c r="L1754" s="1" t="s">
        <v>44</v>
      </c>
      <c r="M1754" s="1" t="s">
        <v>3806</v>
      </c>
      <c r="AG1754" s="1" t="s">
        <v>3807</v>
      </c>
      <c r="AH1754" s="2">
        <v>44981</v>
      </c>
      <c r="AI1754" s="2">
        <v>45199</v>
      </c>
      <c r="AJ1754" s="2">
        <v>44981</v>
      </c>
    </row>
    <row r="1755" spans="1:36">
      <c r="A1755" s="1" t="str">
        <f>"9672612BEC"</f>
        <v>9672612BEC</v>
      </c>
      <c r="B1755" s="1" t="str">
        <f t="shared" si="41"/>
        <v>02406911202</v>
      </c>
      <c r="C1755" s="1" t="s">
        <v>13</v>
      </c>
      <c r="D1755" s="1" t="s">
        <v>37</v>
      </c>
      <c r="E1755" s="1" t="s">
        <v>3808</v>
      </c>
      <c r="F1755" s="1" t="s">
        <v>39</v>
      </c>
      <c r="G1755" s="1" t="str">
        <f>"05849130157"</f>
        <v>05849130157</v>
      </c>
      <c r="I1755" s="1" t="s">
        <v>354</v>
      </c>
      <c r="L1755" s="1" t="s">
        <v>44</v>
      </c>
      <c r="M1755" s="1" t="s">
        <v>3809</v>
      </c>
      <c r="AG1755" s="1" t="s">
        <v>3810</v>
      </c>
      <c r="AH1755" s="2">
        <v>44981</v>
      </c>
      <c r="AI1755" s="2">
        <v>45199</v>
      </c>
      <c r="AJ1755" s="2">
        <v>44981</v>
      </c>
    </row>
    <row r="1756" spans="1:36">
      <c r="A1756" s="1" t="str">
        <f>"ZDE3A16C57"</f>
        <v>ZDE3A16C57</v>
      </c>
      <c r="B1756" s="1" t="str">
        <f t="shared" si="41"/>
        <v>02406911202</v>
      </c>
      <c r="C1756" s="1" t="s">
        <v>13</v>
      </c>
      <c r="D1756" s="1" t="s">
        <v>1312</v>
      </c>
      <c r="E1756" s="1" t="s">
        <v>3811</v>
      </c>
      <c r="F1756" s="1" t="s">
        <v>49</v>
      </c>
      <c r="G1756" s="1" t="str">
        <f>"08055610722"</f>
        <v>08055610722</v>
      </c>
      <c r="I1756" s="1" t="s">
        <v>3812</v>
      </c>
      <c r="L1756" s="1" t="s">
        <v>44</v>
      </c>
      <c r="M1756" s="1" t="s">
        <v>1314</v>
      </c>
      <c r="AG1756" s="1" t="s">
        <v>3813</v>
      </c>
      <c r="AH1756" s="2">
        <v>44980</v>
      </c>
      <c r="AI1756" s="2">
        <v>45657</v>
      </c>
      <c r="AJ1756" s="2">
        <v>44980</v>
      </c>
    </row>
    <row r="1757" spans="1:36">
      <c r="A1757" s="1" t="str">
        <f>"ZDA39DF9D2"</f>
        <v>ZDA39DF9D2</v>
      </c>
      <c r="B1757" s="1" t="str">
        <f t="shared" si="41"/>
        <v>02406911202</v>
      </c>
      <c r="C1757" s="1" t="s">
        <v>13</v>
      </c>
      <c r="D1757" s="1" t="s">
        <v>205</v>
      </c>
      <c r="E1757" s="1" t="s">
        <v>1753</v>
      </c>
      <c r="F1757" s="1" t="s">
        <v>39</v>
      </c>
      <c r="G1757" s="1" t="str">
        <f>"03424251209"</f>
        <v>03424251209</v>
      </c>
      <c r="I1757" s="1" t="s">
        <v>3814</v>
      </c>
      <c r="L1757" s="1" t="s">
        <v>44</v>
      </c>
      <c r="M1757" s="1" t="s">
        <v>3815</v>
      </c>
      <c r="AG1757" s="1" t="s">
        <v>3816</v>
      </c>
      <c r="AH1757" s="2">
        <v>44927</v>
      </c>
      <c r="AI1757" s="2">
        <v>45291</v>
      </c>
      <c r="AJ1757" s="2">
        <v>44927</v>
      </c>
    </row>
    <row r="1758" spans="1:36">
      <c r="A1758" s="1" t="str">
        <f>"9686681609"</f>
        <v>9686681609</v>
      </c>
      <c r="B1758" s="1" t="str">
        <f t="shared" si="41"/>
        <v>02406911202</v>
      </c>
      <c r="C1758" s="1" t="s">
        <v>13</v>
      </c>
      <c r="D1758" s="1" t="s">
        <v>37</v>
      </c>
      <c r="E1758" s="1" t="s">
        <v>2527</v>
      </c>
      <c r="F1758" s="1" t="s">
        <v>117</v>
      </c>
      <c r="G1758" s="1" t="str">
        <f>"00791570153"</f>
        <v>00791570153</v>
      </c>
      <c r="I1758" s="1" t="s">
        <v>504</v>
      </c>
      <c r="L1758" s="1" t="s">
        <v>44</v>
      </c>
      <c r="M1758" s="1" t="s">
        <v>779</v>
      </c>
      <c r="AG1758" s="1" t="s">
        <v>3817</v>
      </c>
      <c r="AH1758" s="2">
        <v>44986</v>
      </c>
      <c r="AI1758" s="2">
        <v>45353</v>
      </c>
      <c r="AJ1758" s="2">
        <v>44986</v>
      </c>
    </row>
    <row r="1759" spans="1:36">
      <c r="A1759" s="1" t="str">
        <f>"9686693FED"</f>
        <v>9686693FED</v>
      </c>
      <c r="B1759" s="1" t="str">
        <f t="shared" si="41"/>
        <v>02406911202</v>
      </c>
      <c r="C1759" s="1" t="s">
        <v>13</v>
      </c>
      <c r="D1759" s="1" t="s">
        <v>37</v>
      </c>
      <c r="E1759" s="1" t="s">
        <v>2527</v>
      </c>
      <c r="F1759" s="1" t="s">
        <v>117</v>
      </c>
      <c r="G1759" s="1" t="str">
        <f>"11846301007"</f>
        <v>11846301007</v>
      </c>
      <c r="I1759" s="1" t="s">
        <v>784</v>
      </c>
      <c r="L1759" s="1" t="s">
        <v>44</v>
      </c>
      <c r="M1759" s="1" t="s">
        <v>786</v>
      </c>
      <c r="AG1759" s="1" t="s">
        <v>3818</v>
      </c>
      <c r="AH1759" s="2">
        <v>44987</v>
      </c>
      <c r="AI1759" s="2">
        <v>45352</v>
      </c>
      <c r="AJ1759" s="2">
        <v>44987</v>
      </c>
    </row>
    <row r="1760" spans="1:36">
      <c r="A1760" s="1" t="str">
        <f>"96867173BF"</f>
        <v>96867173BF</v>
      </c>
      <c r="B1760" s="1" t="str">
        <f t="shared" si="41"/>
        <v>02406911202</v>
      </c>
      <c r="C1760" s="1" t="s">
        <v>13</v>
      </c>
      <c r="D1760" s="1" t="s">
        <v>37</v>
      </c>
      <c r="E1760" s="1" t="s">
        <v>2527</v>
      </c>
      <c r="F1760" s="1" t="s">
        <v>117</v>
      </c>
      <c r="G1760" s="1" t="str">
        <f>"05815240485"</f>
        <v>05815240485</v>
      </c>
      <c r="I1760" s="1" t="s">
        <v>790</v>
      </c>
      <c r="L1760" s="1" t="s">
        <v>44</v>
      </c>
      <c r="M1760" s="1" t="s">
        <v>792</v>
      </c>
      <c r="AG1760" s="1" t="s">
        <v>3819</v>
      </c>
      <c r="AH1760" s="2">
        <v>44987</v>
      </c>
      <c r="AI1760" s="2">
        <v>45352</v>
      </c>
      <c r="AJ1760" s="2">
        <v>44987</v>
      </c>
    </row>
    <row r="1761" spans="1:36">
      <c r="A1761" s="1" t="str">
        <f>"9686727BFD"</f>
        <v>9686727BFD</v>
      </c>
      <c r="B1761" s="1" t="str">
        <f t="shared" si="41"/>
        <v>02406911202</v>
      </c>
      <c r="C1761" s="1" t="s">
        <v>13</v>
      </c>
      <c r="D1761" s="1" t="s">
        <v>37</v>
      </c>
      <c r="E1761" s="1" t="s">
        <v>2527</v>
      </c>
      <c r="F1761" s="1" t="s">
        <v>117</v>
      </c>
      <c r="G1761" s="1" t="str">
        <f>"10329000961"</f>
        <v>10329000961</v>
      </c>
      <c r="I1761" s="1" t="s">
        <v>797</v>
      </c>
      <c r="L1761" s="1" t="s">
        <v>44</v>
      </c>
      <c r="M1761" s="1" t="s">
        <v>799</v>
      </c>
      <c r="AG1761" s="1" t="s">
        <v>3820</v>
      </c>
      <c r="AH1761" s="2">
        <v>44987</v>
      </c>
      <c r="AI1761" s="2">
        <v>45352</v>
      </c>
      <c r="AJ1761" s="2">
        <v>44987</v>
      </c>
    </row>
    <row r="1762" spans="1:36">
      <c r="A1762" s="1" t="str">
        <f>"Z673A50A2F"</f>
        <v>Z673A50A2F</v>
      </c>
      <c r="B1762" s="1" t="str">
        <f t="shared" si="41"/>
        <v>02406911202</v>
      </c>
      <c r="C1762" s="1" t="s">
        <v>13</v>
      </c>
      <c r="D1762" s="1" t="s">
        <v>1253</v>
      </c>
      <c r="E1762" s="1" t="s">
        <v>3821</v>
      </c>
      <c r="F1762" s="1" t="s">
        <v>49</v>
      </c>
      <c r="G1762" s="1" t="str">
        <f>"05158401009"</f>
        <v>05158401009</v>
      </c>
      <c r="I1762" s="1" t="s">
        <v>3822</v>
      </c>
      <c r="L1762" s="1" t="s">
        <v>44</v>
      </c>
      <c r="M1762" s="1" t="s">
        <v>1255</v>
      </c>
      <c r="AG1762" s="1" t="s">
        <v>3823</v>
      </c>
      <c r="AH1762" s="2">
        <v>44995</v>
      </c>
      <c r="AI1762" s="2">
        <v>45291</v>
      </c>
      <c r="AJ1762" s="2">
        <v>44995</v>
      </c>
    </row>
    <row r="1763" spans="1:36">
      <c r="A1763" s="1" t="str">
        <f>"ZB53A66F82"</f>
        <v>ZB53A66F82</v>
      </c>
      <c r="B1763" s="1" t="str">
        <f t="shared" si="41"/>
        <v>02406911202</v>
      </c>
      <c r="C1763" s="1" t="s">
        <v>13</v>
      </c>
      <c r="D1763" s="1" t="s">
        <v>1253</v>
      </c>
      <c r="E1763" s="1" t="s">
        <v>1260</v>
      </c>
      <c r="F1763" s="1" t="s">
        <v>49</v>
      </c>
      <c r="G1763" s="1" t="str">
        <f>"06032681006"</f>
        <v>06032681006</v>
      </c>
      <c r="I1763" s="1" t="s">
        <v>1351</v>
      </c>
      <c r="L1763" s="1" t="s">
        <v>44</v>
      </c>
      <c r="M1763" s="1" t="s">
        <v>1255</v>
      </c>
      <c r="AG1763" s="1" t="s">
        <v>3824</v>
      </c>
      <c r="AH1763" s="2">
        <v>45001</v>
      </c>
      <c r="AI1763" s="2">
        <v>45291</v>
      </c>
      <c r="AJ1763" s="2">
        <v>45001</v>
      </c>
    </row>
    <row r="1764" spans="1:36">
      <c r="A1764" s="1" t="str">
        <f>"9611564188"</f>
        <v>9611564188</v>
      </c>
      <c r="B1764" s="1" t="str">
        <f t="shared" si="41"/>
        <v>02406911202</v>
      </c>
      <c r="C1764" s="1" t="s">
        <v>13</v>
      </c>
      <c r="D1764" s="1" t="s">
        <v>37</v>
      </c>
      <c r="E1764" s="1" t="s">
        <v>3825</v>
      </c>
      <c r="F1764" s="1" t="s">
        <v>117</v>
      </c>
      <c r="G1764" s="1" t="str">
        <f>"03859880969"</f>
        <v>03859880969</v>
      </c>
      <c r="I1764" s="1" t="s">
        <v>3826</v>
      </c>
      <c r="L1764" s="1" t="s">
        <v>44</v>
      </c>
      <c r="M1764" s="1" t="s">
        <v>3827</v>
      </c>
      <c r="AG1764" s="1" t="s">
        <v>3828</v>
      </c>
      <c r="AH1764" s="2">
        <v>44943</v>
      </c>
      <c r="AI1764" s="2">
        <v>46022</v>
      </c>
      <c r="AJ1764" s="2">
        <v>44943</v>
      </c>
    </row>
    <row r="1765" spans="1:36">
      <c r="A1765" s="1" t="str">
        <f>"9611564188"</f>
        <v>9611564188</v>
      </c>
      <c r="B1765" s="1" t="str">
        <f t="shared" si="41"/>
        <v>02406911202</v>
      </c>
      <c r="C1765" s="1" t="s">
        <v>13</v>
      </c>
      <c r="D1765" s="1" t="s">
        <v>37</v>
      </c>
      <c r="E1765" s="1" t="s">
        <v>3825</v>
      </c>
      <c r="F1765" s="1" t="s">
        <v>117</v>
      </c>
      <c r="G1765" s="1" t="str">
        <f>"02344710484"</f>
        <v>02344710484</v>
      </c>
      <c r="I1765" s="1" t="s">
        <v>1747</v>
      </c>
      <c r="L1765" s="1" t="s">
        <v>44</v>
      </c>
      <c r="M1765" s="1" t="s">
        <v>3827</v>
      </c>
      <c r="AG1765" s="1" t="s">
        <v>3828</v>
      </c>
      <c r="AH1765" s="2">
        <v>44943</v>
      </c>
      <c r="AI1765" s="2">
        <v>46022</v>
      </c>
      <c r="AJ1765" s="2">
        <v>44943</v>
      </c>
    </row>
    <row r="1766" spans="1:36">
      <c r="A1766" s="1" t="str">
        <f>"ZA93998AF5"</f>
        <v>ZA93998AF5</v>
      </c>
      <c r="B1766" s="1" t="str">
        <f t="shared" si="41"/>
        <v>02406911202</v>
      </c>
      <c r="C1766" s="1" t="s">
        <v>13</v>
      </c>
      <c r="D1766" s="1" t="s">
        <v>1312</v>
      </c>
      <c r="E1766" s="1" t="s">
        <v>3829</v>
      </c>
      <c r="F1766" s="1" t="s">
        <v>49</v>
      </c>
      <c r="G1766" s="1" t="str">
        <f>"11160660152"</f>
        <v>11160660152</v>
      </c>
      <c r="I1766" s="1" t="s">
        <v>306</v>
      </c>
      <c r="L1766" s="1" t="s">
        <v>44</v>
      </c>
      <c r="M1766" s="1" t="s">
        <v>3830</v>
      </c>
      <c r="AG1766" s="1" t="s">
        <v>3831</v>
      </c>
      <c r="AH1766" s="2">
        <v>44946</v>
      </c>
      <c r="AI1766" s="2">
        <v>45046</v>
      </c>
      <c r="AJ1766" s="2">
        <v>44946</v>
      </c>
    </row>
    <row r="1767" spans="1:36">
      <c r="A1767" s="1" t="str">
        <f>"96165514EE"</f>
        <v>96165514EE</v>
      </c>
      <c r="B1767" s="1" t="str">
        <f t="shared" si="41"/>
        <v>02406911202</v>
      </c>
      <c r="C1767" s="1" t="s">
        <v>13</v>
      </c>
      <c r="D1767" s="1" t="s">
        <v>37</v>
      </c>
      <c r="E1767" s="1" t="s">
        <v>3832</v>
      </c>
      <c r="F1767" s="1" t="s">
        <v>117</v>
      </c>
      <c r="G1767" s="1" t="str">
        <f>"03878140239"</f>
        <v>03878140239</v>
      </c>
      <c r="I1767" s="1" t="s">
        <v>441</v>
      </c>
      <c r="L1767" s="1" t="s">
        <v>44</v>
      </c>
      <c r="M1767" s="1" t="s">
        <v>3833</v>
      </c>
      <c r="AG1767" s="1" t="s">
        <v>3834</v>
      </c>
      <c r="AH1767" s="2">
        <v>44943</v>
      </c>
      <c r="AI1767" s="2">
        <v>46022</v>
      </c>
      <c r="AJ1767" s="2">
        <v>44943</v>
      </c>
    </row>
    <row r="1768" spans="1:36">
      <c r="A1768" s="1" t="str">
        <f>"Z0339A5741"</f>
        <v>Z0339A5741</v>
      </c>
      <c r="B1768" s="1" t="str">
        <f t="shared" si="41"/>
        <v>02406911202</v>
      </c>
      <c r="C1768" s="1" t="s">
        <v>13</v>
      </c>
      <c r="D1768" s="1" t="s">
        <v>1253</v>
      </c>
      <c r="E1768" s="1" t="s">
        <v>1254</v>
      </c>
      <c r="F1768" s="1" t="s">
        <v>49</v>
      </c>
      <c r="G1768" s="1" t="str">
        <f>"11206730159"</f>
        <v>11206730159</v>
      </c>
      <c r="I1768" s="1" t="s">
        <v>192</v>
      </c>
      <c r="L1768" s="1" t="s">
        <v>44</v>
      </c>
      <c r="M1768" s="1" t="s">
        <v>1255</v>
      </c>
      <c r="AG1768" s="1" t="s">
        <v>2975</v>
      </c>
      <c r="AH1768" s="2">
        <v>44951</v>
      </c>
      <c r="AI1768" s="2">
        <v>45291</v>
      </c>
      <c r="AJ1768" s="2">
        <v>44951</v>
      </c>
    </row>
    <row r="1769" spans="1:36">
      <c r="A1769" s="1" t="str">
        <f>"Z7F39A5A48"</f>
        <v>Z7F39A5A48</v>
      </c>
      <c r="B1769" s="1" t="str">
        <f t="shared" si="41"/>
        <v>02406911202</v>
      </c>
      <c r="C1769" s="1" t="s">
        <v>13</v>
      </c>
      <c r="D1769" s="1" t="s">
        <v>1253</v>
      </c>
      <c r="E1769" s="1" t="s">
        <v>1317</v>
      </c>
      <c r="F1769" s="1" t="s">
        <v>49</v>
      </c>
      <c r="G1769" s="1" t="str">
        <f>"06032681006"</f>
        <v>06032681006</v>
      </c>
      <c r="I1769" s="1" t="s">
        <v>1351</v>
      </c>
      <c r="L1769" s="1" t="s">
        <v>44</v>
      </c>
      <c r="M1769" s="1" t="s">
        <v>1255</v>
      </c>
      <c r="AG1769" s="1" t="s">
        <v>3835</v>
      </c>
      <c r="AH1769" s="2">
        <v>44951</v>
      </c>
      <c r="AI1769" s="2">
        <v>45291</v>
      </c>
      <c r="AJ1769" s="2">
        <v>44951</v>
      </c>
    </row>
    <row r="1770" spans="1:36">
      <c r="A1770" s="1" t="str">
        <f>"Z7739B6C9E"</f>
        <v>Z7739B6C9E</v>
      </c>
      <c r="B1770" s="1" t="str">
        <f t="shared" si="41"/>
        <v>02406911202</v>
      </c>
      <c r="C1770" s="1" t="s">
        <v>13</v>
      </c>
      <c r="D1770" s="1" t="s">
        <v>1253</v>
      </c>
      <c r="E1770" s="1" t="s">
        <v>1260</v>
      </c>
      <c r="F1770" s="1" t="s">
        <v>49</v>
      </c>
      <c r="G1770" s="1" t="str">
        <f>"01975020130"</f>
        <v>01975020130</v>
      </c>
      <c r="I1770" s="1" t="s">
        <v>1737</v>
      </c>
      <c r="L1770" s="1" t="s">
        <v>44</v>
      </c>
      <c r="M1770" s="1" t="s">
        <v>1255</v>
      </c>
      <c r="AG1770" s="1" t="s">
        <v>3836</v>
      </c>
      <c r="AH1770" s="2">
        <v>44956</v>
      </c>
      <c r="AI1770" s="2">
        <v>45291</v>
      </c>
      <c r="AJ1770" s="2">
        <v>44956</v>
      </c>
    </row>
    <row r="1771" spans="1:36">
      <c r="A1771" s="1" t="str">
        <f>"9634049CBA"</f>
        <v>9634049CBA</v>
      </c>
      <c r="B1771" s="1" t="str">
        <f t="shared" si="41"/>
        <v>02406911202</v>
      </c>
      <c r="C1771" s="1" t="s">
        <v>13</v>
      </c>
      <c r="D1771" s="1" t="s">
        <v>37</v>
      </c>
      <c r="E1771" s="1" t="s">
        <v>3837</v>
      </c>
      <c r="F1771" s="1" t="s">
        <v>39</v>
      </c>
      <c r="G1771" s="1" t="str">
        <f>"09050810960"</f>
        <v>09050810960</v>
      </c>
      <c r="I1771" s="1" t="s">
        <v>118</v>
      </c>
      <c r="L1771" s="1" t="s">
        <v>44</v>
      </c>
      <c r="M1771" s="1" t="s">
        <v>825</v>
      </c>
      <c r="AG1771" s="1" t="s">
        <v>3838</v>
      </c>
      <c r="AH1771" s="2">
        <v>44950</v>
      </c>
      <c r="AI1771" s="2">
        <v>45314</v>
      </c>
      <c r="AJ1771" s="2">
        <v>44950</v>
      </c>
    </row>
    <row r="1772" spans="1:36">
      <c r="A1772" s="1" t="str">
        <f>"ZDB39D2940"</f>
        <v>ZDB39D2940</v>
      </c>
      <c r="B1772" s="1" t="str">
        <f t="shared" si="41"/>
        <v>02406911202</v>
      </c>
      <c r="C1772" s="1" t="s">
        <v>13</v>
      </c>
      <c r="D1772" s="1" t="s">
        <v>37</v>
      </c>
      <c r="E1772" s="1" t="s">
        <v>3839</v>
      </c>
      <c r="F1772" s="1" t="s">
        <v>117</v>
      </c>
      <c r="G1772" s="1" t="str">
        <f>"01467050181"</f>
        <v>01467050181</v>
      </c>
      <c r="I1772" s="1" t="s">
        <v>3840</v>
      </c>
      <c r="L1772" s="1" t="s">
        <v>44</v>
      </c>
      <c r="M1772" s="1" t="s">
        <v>3841</v>
      </c>
      <c r="AG1772" s="1" t="s">
        <v>3842</v>
      </c>
      <c r="AH1772" s="2">
        <v>44943</v>
      </c>
      <c r="AI1772" s="2">
        <v>46022</v>
      </c>
      <c r="AJ1772" s="2">
        <v>44943</v>
      </c>
    </row>
    <row r="1773" spans="1:36">
      <c r="A1773" s="1" t="str">
        <f>"9641359D21"</f>
        <v>9641359D21</v>
      </c>
      <c r="B1773" s="1" t="str">
        <f t="shared" si="41"/>
        <v>02406911202</v>
      </c>
      <c r="C1773" s="1" t="s">
        <v>13</v>
      </c>
      <c r="D1773" s="1" t="s">
        <v>37</v>
      </c>
      <c r="E1773" s="1" t="s">
        <v>3843</v>
      </c>
      <c r="F1773" s="1" t="s">
        <v>117</v>
      </c>
      <c r="G1773" s="1" t="str">
        <f>"04935110967"</f>
        <v>04935110967</v>
      </c>
      <c r="I1773" s="1" t="s">
        <v>3844</v>
      </c>
      <c r="L1773" s="1" t="s">
        <v>44</v>
      </c>
      <c r="M1773" s="1" t="s">
        <v>3845</v>
      </c>
      <c r="AG1773" s="1" t="s">
        <v>3846</v>
      </c>
      <c r="AH1773" s="2">
        <v>44943</v>
      </c>
      <c r="AI1773" s="2">
        <v>46022</v>
      </c>
      <c r="AJ1773" s="2">
        <v>44943</v>
      </c>
    </row>
    <row r="1774" spans="1:36">
      <c r="A1774" s="1" t="str">
        <f>"Z4939D2A19"</f>
        <v>Z4939D2A19</v>
      </c>
      <c r="B1774" s="1" t="str">
        <f t="shared" si="41"/>
        <v>02406911202</v>
      </c>
      <c r="C1774" s="1" t="s">
        <v>13</v>
      </c>
      <c r="D1774" s="1" t="s">
        <v>37</v>
      </c>
      <c r="E1774" s="1" t="s">
        <v>3847</v>
      </c>
      <c r="F1774" s="1" t="s">
        <v>117</v>
      </c>
      <c r="G1774" s="1" t="str">
        <f>"03670780158"</f>
        <v>03670780158</v>
      </c>
      <c r="I1774" s="1" t="s">
        <v>3848</v>
      </c>
      <c r="L1774" s="1" t="s">
        <v>44</v>
      </c>
      <c r="M1774" s="1" t="s">
        <v>3849</v>
      </c>
      <c r="AG1774" s="1" t="s">
        <v>124</v>
      </c>
      <c r="AH1774" s="2">
        <v>44943</v>
      </c>
      <c r="AI1774" s="2">
        <v>46022</v>
      </c>
      <c r="AJ1774" s="2">
        <v>44943</v>
      </c>
    </row>
    <row r="1775" spans="1:36">
      <c r="A1775" s="1" t="str">
        <f>"96414643CA"</f>
        <v>96414643CA</v>
      </c>
      <c r="B1775" s="1" t="str">
        <f t="shared" si="41"/>
        <v>02406911202</v>
      </c>
      <c r="C1775" s="1" t="s">
        <v>13</v>
      </c>
      <c r="D1775" s="1" t="s">
        <v>37</v>
      </c>
      <c r="E1775" s="1" t="s">
        <v>3850</v>
      </c>
      <c r="F1775" s="1" t="s">
        <v>117</v>
      </c>
      <c r="G1775" s="1" t="str">
        <f>"01423300183"</f>
        <v>01423300183</v>
      </c>
      <c r="I1775" s="1" t="s">
        <v>1388</v>
      </c>
      <c r="L1775" s="1" t="s">
        <v>44</v>
      </c>
      <c r="M1775" s="1" t="s">
        <v>3851</v>
      </c>
      <c r="AG1775" s="1" t="s">
        <v>3852</v>
      </c>
      <c r="AH1775" s="2">
        <v>44943</v>
      </c>
      <c r="AI1775" s="2">
        <v>46022</v>
      </c>
      <c r="AJ1775" s="2">
        <v>44943</v>
      </c>
    </row>
    <row r="1776" spans="1:36">
      <c r="A1776" s="1" t="str">
        <f>"Z6D39D2AFA"</f>
        <v>Z6D39D2AFA</v>
      </c>
      <c r="B1776" s="1" t="str">
        <f t="shared" si="41"/>
        <v>02406911202</v>
      </c>
      <c r="C1776" s="1" t="s">
        <v>13</v>
      </c>
      <c r="D1776" s="1" t="s">
        <v>37</v>
      </c>
      <c r="E1776" s="1" t="s">
        <v>3853</v>
      </c>
      <c r="F1776" s="1" t="s">
        <v>117</v>
      </c>
      <c r="G1776" s="1" t="str">
        <f>"11388870153"</f>
        <v>11388870153</v>
      </c>
      <c r="I1776" s="1" t="s">
        <v>3854</v>
      </c>
      <c r="L1776" s="1" t="s">
        <v>44</v>
      </c>
      <c r="M1776" s="1" t="s">
        <v>3855</v>
      </c>
      <c r="AG1776" s="1" t="s">
        <v>124</v>
      </c>
      <c r="AH1776" s="2">
        <v>44943</v>
      </c>
      <c r="AI1776" s="2">
        <v>46022</v>
      </c>
      <c r="AJ1776" s="2">
        <v>44943</v>
      </c>
    </row>
    <row r="1777" spans="1:36">
      <c r="A1777" s="1" t="str">
        <f>"Z073A0E103"</f>
        <v>Z073A0E103</v>
      </c>
      <c r="B1777" s="1" t="str">
        <f t="shared" si="41"/>
        <v>02406911202</v>
      </c>
      <c r="C1777" s="1" t="s">
        <v>13</v>
      </c>
      <c r="D1777" s="1" t="s">
        <v>205</v>
      </c>
      <c r="E1777" s="1" t="s">
        <v>1686</v>
      </c>
      <c r="F1777" s="1" t="s">
        <v>39</v>
      </c>
      <c r="G1777" s="1" t="str">
        <f>"00463660399"</f>
        <v>00463660399</v>
      </c>
      <c r="I1777" s="1" t="s">
        <v>2611</v>
      </c>
      <c r="L1777" s="1" t="s">
        <v>44</v>
      </c>
      <c r="M1777" s="1" t="s">
        <v>917</v>
      </c>
      <c r="AG1777" s="1" t="s">
        <v>124</v>
      </c>
      <c r="AH1777" s="2">
        <v>44927</v>
      </c>
      <c r="AI1777" s="2">
        <v>45291</v>
      </c>
      <c r="AJ1777" s="2">
        <v>44927</v>
      </c>
    </row>
    <row r="1778" spans="1:36">
      <c r="A1778" s="1" t="str">
        <f>"Z6C3A41C4C"</f>
        <v>Z6C3A41C4C</v>
      </c>
      <c r="B1778" s="1" t="str">
        <f t="shared" si="41"/>
        <v>02406911202</v>
      </c>
      <c r="C1778" s="1" t="s">
        <v>13</v>
      </c>
      <c r="D1778" s="1" t="s">
        <v>1253</v>
      </c>
      <c r="E1778" s="1" t="s">
        <v>1260</v>
      </c>
      <c r="F1778" s="1" t="s">
        <v>49</v>
      </c>
      <c r="G1778" s="1" t="str">
        <f>"09270550016"</f>
        <v>09270550016</v>
      </c>
      <c r="I1778" s="1" t="s">
        <v>1328</v>
      </c>
      <c r="L1778" s="1" t="s">
        <v>44</v>
      </c>
      <c r="M1778" s="1" t="s">
        <v>1255</v>
      </c>
      <c r="AG1778" s="1" t="s">
        <v>3856</v>
      </c>
      <c r="AH1778" s="2">
        <v>44992</v>
      </c>
      <c r="AI1778" s="2">
        <v>45291</v>
      </c>
      <c r="AJ1778" s="2">
        <v>44992</v>
      </c>
    </row>
    <row r="1779" spans="1:36">
      <c r="A1779" s="1" t="str">
        <f>"Z143A41C1C"</f>
        <v>Z143A41C1C</v>
      </c>
      <c r="B1779" s="1" t="str">
        <f t="shared" si="41"/>
        <v>02406911202</v>
      </c>
      <c r="C1779" s="1" t="s">
        <v>13</v>
      </c>
      <c r="D1779" s="1" t="s">
        <v>1253</v>
      </c>
      <c r="E1779" s="1" t="s">
        <v>1260</v>
      </c>
      <c r="F1779" s="1" t="s">
        <v>49</v>
      </c>
      <c r="G1779" s="1" t="str">
        <f>"02658740614"</f>
        <v>02658740614</v>
      </c>
      <c r="I1779" s="1" t="s">
        <v>2729</v>
      </c>
      <c r="L1779" s="1" t="s">
        <v>44</v>
      </c>
      <c r="M1779" s="1" t="s">
        <v>1255</v>
      </c>
      <c r="AG1779" s="1" t="s">
        <v>3857</v>
      </c>
      <c r="AH1779" s="2">
        <v>44992</v>
      </c>
      <c r="AI1779" s="2">
        <v>45291</v>
      </c>
      <c r="AJ1779" s="2">
        <v>44992</v>
      </c>
    </row>
    <row r="1780" spans="1:36">
      <c r="A1780" s="1" t="str">
        <f>"Z8D3A3FB08"</f>
        <v>Z8D3A3FB08</v>
      </c>
      <c r="B1780" s="1" t="str">
        <f t="shared" si="41"/>
        <v>02406911202</v>
      </c>
      <c r="C1780" s="1" t="s">
        <v>13</v>
      </c>
      <c r="D1780" s="1" t="s">
        <v>1253</v>
      </c>
      <c r="E1780" s="1" t="s">
        <v>1262</v>
      </c>
      <c r="F1780" s="1" t="s">
        <v>49</v>
      </c>
      <c r="G1780" s="1" t="str">
        <f>"06037901003"</f>
        <v>06037901003</v>
      </c>
      <c r="I1780" s="1" t="s">
        <v>3136</v>
      </c>
      <c r="L1780" s="1" t="s">
        <v>44</v>
      </c>
      <c r="M1780" s="1" t="s">
        <v>1255</v>
      </c>
      <c r="AG1780" s="1" t="s">
        <v>3858</v>
      </c>
      <c r="AH1780" s="2">
        <v>44992</v>
      </c>
      <c r="AI1780" s="2">
        <v>45291</v>
      </c>
      <c r="AJ1780" s="2">
        <v>44992</v>
      </c>
    </row>
    <row r="1781" spans="1:36">
      <c r="A1781" s="1" t="str">
        <f>"ZBE3A59E27"</f>
        <v>ZBE3A59E27</v>
      </c>
      <c r="B1781" s="1" t="str">
        <f t="shared" si="41"/>
        <v>02406911202</v>
      </c>
      <c r="C1781" s="1" t="s">
        <v>13</v>
      </c>
      <c r="D1781" s="1" t="s">
        <v>1253</v>
      </c>
      <c r="E1781" s="1" t="s">
        <v>1270</v>
      </c>
      <c r="F1781" s="1" t="s">
        <v>49</v>
      </c>
      <c r="G1781" s="1" t="str">
        <f>"10220860158"</f>
        <v>10220860158</v>
      </c>
      <c r="I1781" s="1" t="s">
        <v>1375</v>
      </c>
      <c r="L1781" s="1" t="s">
        <v>44</v>
      </c>
      <c r="M1781" s="1" t="s">
        <v>1255</v>
      </c>
      <c r="AG1781" s="1" t="s">
        <v>3859</v>
      </c>
      <c r="AH1781" s="2">
        <v>44998</v>
      </c>
      <c r="AI1781" s="2">
        <v>45291</v>
      </c>
      <c r="AJ1781" s="2">
        <v>44998</v>
      </c>
    </row>
    <row r="1782" spans="1:36">
      <c r="A1782" s="1" t="str">
        <f>"Z593A59E62"</f>
        <v>Z593A59E62</v>
      </c>
      <c r="B1782" s="1" t="str">
        <f t="shared" si="41"/>
        <v>02406911202</v>
      </c>
      <c r="C1782" s="1" t="s">
        <v>13</v>
      </c>
      <c r="D1782" s="1" t="s">
        <v>1253</v>
      </c>
      <c r="E1782" s="1" t="s">
        <v>1254</v>
      </c>
      <c r="F1782" s="1" t="s">
        <v>49</v>
      </c>
      <c r="G1782" s="1" t="str">
        <f>"02173550282"</f>
        <v>02173550282</v>
      </c>
      <c r="I1782" s="1" t="s">
        <v>634</v>
      </c>
      <c r="L1782" s="1" t="s">
        <v>44</v>
      </c>
      <c r="M1782" s="1" t="s">
        <v>1255</v>
      </c>
      <c r="AG1782" s="1" t="s">
        <v>3860</v>
      </c>
      <c r="AH1782" s="2">
        <v>44998</v>
      </c>
      <c r="AI1782" s="2">
        <v>45291</v>
      </c>
      <c r="AJ1782" s="2">
        <v>44998</v>
      </c>
    </row>
    <row r="1783" spans="1:36">
      <c r="A1783" s="1" t="str">
        <f>"Z723A8030D"</f>
        <v>Z723A8030D</v>
      </c>
      <c r="B1783" s="1" t="str">
        <f t="shared" si="41"/>
        <v>02406911202</v>
      </c>
      <c r="C1783" s="1" t="s">
        <v>13</v>
      </c>
      <c r="D1783" s="1" t="s">
        <v>1312</v>
      </c>
      <c r="E1783" s="1" t="s">
        <v>1608</v>
      </c>
      <c r="F1783" s="1" t="s">
        <v>49</v>
      </c>
      <c r="G1783" s="1" t="str">
        <f>"00615700374"</f>
        <v>00615700374</v>
      </c>
      <c r="I1783" s="1" t="s">
        <v>1453</v>
      </c>
      <c r="L1783" s="1" t="s">
        <v>44</v>
      </c>
      <c r="M1783" s="1" t="s">
        <v>1314</v>
      </c>
      <c r="AG1783" s="1" t="s">
        <v>3861</v>
      </c>
      <c r="AH1783" s="2">
        <v>45008</v>
      </c>
      <c r="AI1783" s="2">
        <v>45657</v>
      </c>
      <c r="AJ1783" s="2">
        <v>45008</v>
      </c>
    </row>
    <row r="1784" spans="1:36">
      <c r="A1784" s="1" t="str">
        <f>"ZA63A81402"</f>
        <v>ZA63A81402</v>
      </c>
      <c r="B1784" s="1" t="str">
        <f t="shared" si="41"/>
        <v>02406911202</v>
      </c>
      <c r="C1784" s="1" t="s">
        <v>13</v>
      </c>
      <c r="D1784" s="1" t="s">
        <v>1312</v>
      </c>
      <c r="E1784" s="1" t="s">
        <v>3862</v>
      </c>
      <c r="F1784" s="1" t="s">
        <v>49</v>
      </c>
      <c r="G1784" s="1" t="str">
        <f>"02803471206"</f>
        <v>02803471206</v>
      </c>
      <c r="I1784" s="1" t="s">
        <v>1638</v>
      </c>
      <c r="L1784" s="1" t="s">
        <v>44</v>
      </c>
      <c r="M1784" s="1" t="s">
        <v>1314</v>
      </c>
      <c r="AG1784" s="1" t="s">
        <v>3863</v>
      </c>
      <c r="AH1784" s="2">
        <v>45008</v>
      </c>
      <c r="AI1784" s="2">
        <v>45657</v>
      </c>
      <c r="AJ1784" s="2">
        <v>45008</v>
      </c>
    </row>
    <row r="1785" spans="1:36">
      <c r="A1785" s="1" t="str">
        <f>"ZD63A81D06"</f>
        <v>ZD63A81D06</v>
      </c>
      <c r="B1785" s="1" t="str">
        <f t="shared" si="41"/>
        <v>02406911202</v>
      </c>
      <c r="C1785" s="1" t="s">
        <v>13</v>
      </c>
      <c r="D1785" s="1" t="s">
        <v>1312</v>
      </c>
      <c r="E1785" s="1" t="s">
        <v>3864</v>
      </c>
      <c r="F1785" s="1" t="s">
        <v>49</v>
      </c>
      <c r="G1785" s="1" t="str">
        <f>"00549731206"</f>
        <v>00549731206</v>
      </c>
      <c r="I1785" s="1" t="s">
        <v>1391</v>
      </c>
      <c r="L1785" s="1" t="s">
        <v>44</v>
      </c>
      <c r="M1785" s="1" t="s">
        <v>3830</v>
      </c>
      <c r="AG1785" s="1" t="s">
        <v>3865</v>
      </c>
      <c r="AH1785" s="2">
        <v>45008</v>
      </c>
      <c r="AI1785" s="2">
        <v>45657</v>
      </c>
      <c r="AJ1785" s="2">
        <v>45008</v>
      </c>
    </row>
    <row r="1786" spans="1:36">
      <c r="A1786" s="1" t="str">
        <f>"Z903A8259C"</f>
        <v>Z903A8259C</v>
      </c>
      <c r="B1786" s="1" t="str">
        <f t="shared" si="41"/>
        <v>02406911202</v>
      </c>
      <c r="C1786" s="1" t="s">
        <v>13</v>
      </c>
      <c r="D1786" s="1" t="s">
        <v>1253</v>
      </c>
      <c r="E1786" s="1" t="s">
        <v>1262</v>
      </c>
      <c r="F1786" s="1" t="s">
        <v>49</v>
      </c>
      <c r="G1786" s="1" t="str">
        <f>"09190500968"</f>
        <v>09190500968</v>
      </c>
      <c r="I1786" s="1" t="s">
        <v>1702</v>
      </c>
      <c r="L1786" s="1" t="s">
        <v>44</v>
      </c>
      <c r="M1786" s="1" t="s">
        <v>1255</v>
      </c>
      <c r="AG1786" s="1" t="s">
        <v>3866</v>
      </c>
      <c r="AH1786" s="2">
        <v>45008</v>
      </c>
      <c r="AI1786" s="2">
        <v>45291</v>
      </c>
      <c r="AJ1786" s="2">
        <v>45008</v>
      </c>
    </row>
    <row r="1787" spans="1:36">
      <c r="A1787" s="1" t="str">
        <f>"ZC63A82670"</f>
        <v>ZC63A82670</v>
      </c>
      <c r="B1787" s="1" t="str">
        <f t="shared" si="41"/>
        <v>02406911202</v>
      </c>
      <c r="C1787" s="1" t="s">
        <v>13</v>
      </c>
      <c r="D1787" s="1" t="s">
        <v>1312</v>
      </c>
      <c r="E1787" s="1" t="s">
        <v>3867</v>
      </c>
      <c r="F1787" s="1" t="s">
        <v>49</v>
      </c>
      <c r="G1787" s="1" t="str">
        <f>"09053360153"</f>
        <v>09053360153</v>
      </c>
      <c r="I1787" s="1" t="s">
        <v>3868</v>
      </c>
      <c r="L1787" s="1" t="s">
        <v>44</v>
      </c>
      <c r="M1787" s="1" t="s">
        <v>1314</v>
      </c>
      <c r="AG1787" s="1" t="s">
        <v>3869</v>
      </c>
      <c r="AH1787" s="2">
        <v>45008</v>
      </c>
      <c r="AI1787" s="2">
        <v>45657</v>
      </c>
      <c r="AJ1787" s="2">
        <v>45008</v>
      </c>
    </row>
    <row r="1788" spans="1:36">
      <c r="A1788" s="1" t="str">
        <f>"9710429382"</f>
        <v>9710429382</v>
      </c>
      <c r="B1788" s="1" t="str">
        <f t="shared" si="41"/>
        <v>02406911202</v>
      </c>
      <c r="C1788" s="1" t="s">
        <v>13</v>
      </c>
      <c r="D1788" s="1" t="s">
        <v>1312</v>
      </c>
      <c r="E1788" s="1" t="s">
        <v>3870</v>
      </c>
      <c r="F1788" s="1" t="s">
        <v>49</v>
      </c>
      <c r="G1788" s="1" t="str">
        <f>"03597020373"</f>
        <v>03597020373</v>
      </c>
      <c r="I1788" s="1" t="s">
        <v>920</v>
      </c>
      <c r="L1788" s="1" t="s">
        <v>44</v>
      </c>
      <c r="M1788" s="1" t="s">
        <v>3871</v>
      </c>
      <c r="AG1788" s="1" t="s">
        <v>3872</v>
      </c>
      <c r="AH1788" s="2">
        <v>45008</v>
      </c>
      <c r="AI1788" s="2">
        <v>45747</v>
      </c>
      <c r="AJ1788" s="2">
        <v>45008</v>
      </c>
    </row>
    <row r="1789" spans="1:36">
      <c r="A1789" s="1" t="str">
        <f>"Z9F3994888"</f>
        <v>Z9F3994888</v>
      </c>
      <c r="B1789" s="1" t="str">
        <f t="shared" si="41"/>
        <v>02406911202</v>
      </c>
      <c r="C1789" s="1" t="s">
        <v>13</v>
      </c>
      <c r="D1789" s="1" t="s">
        <v>1253</v>
      </c>
      <c r="E1789" s="1" t="s">
        <v>1254</v>
      </c>
      <c r="F1789" s="1" t="s">
        <v>49</v>
      </c>
      <c r="G1789" s="1" t="str">
        <f>"01542210222"</f>
        <v>01542210222</v>
      </c>
      <c r="I1789" s="1" t="s">
        <v>1891</v>
      </c>
      <c r="L1789" s="1" t="s">
        <v>44</v>
      </c>
      <c r="M1789" s="1" t="s">
        <v>1255</v>
      </c>
      <c r="AG1789" s="1" t="s">
        <v>3873</v>
      </c>
      <c r="AH1789" s="2">
        <v>44945</v>
      </c>
      <c r="AI1789" s="2">
        <v>45291</v>
      </c>
      <c r="AJ1789" s="2">
        <v>44945</v>
      </c>
    </row>
    <row r="1790" spans="1:36">
      <c r="A1790" s="1" t="str">
        <f>"Z453994EAB"</f>
        <v>Z453994EAB</v>
      </c>
      <c r="B1790" s="1" t="str">
        <f t="shared" si="41"/>
        <v>02406911202</v>
      </c>
      <c r="C1790" s="1" t="s">
        <v>13</v>
      </c>
      <c r="D1790" s="1" t="s">
        <v>1312</v>
      </c>
      <c r="E1790" s="1" t="s">
        <v>3874</v>
      </c>
      <c r="F1790" s="1" t="s">
        <v>49</v>
      </c>
      <c r="G1790" s="1" t="str">
        <f>"00673881207"</f>
        <v>00673881207</v>
      </c>
      <c r="I1790" s="1" t="s">
        <v>1310</v>
      </c>
      <c r="L1790" s="1" t="s">
        <v>44</v>
      </c>
      <c r="M1790" s="1" t="s">
        <v>1314</v>
      </c>
      <c r="AG1790" s="1" t="s">
        <v>3875</v>
      </c>
      <c r="AH1790" s="2">
        <v>44945</v>
      </c>
      <c r="AI1790" s="2">
        <v>45291</v>
      </c>
      <c r="AJ1790" s="2">
        <v>44945</v>
      </c>
    </row>
    <row r="1791" spans="1:36">
      <c r="A1791" s="1" t="str">
        <f>"9612751512"</f>
        <v>9612751512</v>
      </c>
      <c r="B1791" s="1" t="str">
        <f t="shared" si="41"/>
        <v>02406911202</v>
      </c>
      <c r="C1791" s="1" t="s">
        <v>13</v>
      </c>
      <c r="D1791" s="1" t="s">
        <v>37</v>
      </c>
      <c r="E1791" s="1" t="s">
        <v>3876</v>
      </c>
      <c r="F1791" s="1" t="s">
        <v>117</v>
      </c>
      <c r="G1791" s="1" t="str">
        <f>"08433930966"</f>
        <v>08433930966</v>
      </c>
      <c r="I1791" s="1" t="s">
        <v>2124</v>
      </c>
      <c r="L1791" s="1" t="s">
        <v>44</v>
      </c>
      <c r="M1791" s="1" t="s">
        <v>3877</v>
      </c>
      <c r="AG1791" s="1" t="s">
        <v>124</v>
      </c>
      <c r="AH1791" s="2">
        <v>44943</v>
      </c>
      <c r="AI1791" s="2">
        <v>46022</v>
      </c>
      <c r="AJ1791" s="2">
        <v>44943</v>
      </c>
    </row>
    <row r="1792" spans="1:36">
      <c r="A1792" s="1" t="str">
        <f>"Z95399839B"</f>
        <v>Z95399839B</v>
      </c>
      <c r="B1792" s="1" t="str">
        <f t="shared" si="41"/>
        <v>02406911202</v>
      </c>
      <c r="C1792" s="1" t="s">
        <v>13</v>
      </c>
      <c r="D1792" s="1" t="s">
        <v>1257</v>
      </c>
      <c r="E1792" s="1" t="s">
        <v>3878</v>
      </c>
      <c r="F1792" s="1" t="s">
        <v>49</v>
      </c>
      <c r="G1792" s="1" t="str">
        <f>"05131180969"</f>
        <v>05131180969</v>
      </c>
      <c r="I1792" s="1" t="s">
        <v>3879</v>
      </c>
      <c r="L1792" s="1" t="s">
        <v>44</v>
      </c>
      <c r="M1792" s="1" t="s">
        <v>509</v>
      </c>
      <c r="AG1792" s="1" t="s">
        <v>3880</v>
      </c>
      <c r="AH1792" s="2">
        <v>44946</v>
      </c>
      <c r="AI1792" s="2">
        <v>45291</v>
      </c>
      <c r="AJ1792" s="2">
        <v>44946</v>
      </c>
    </row>
    <row r="1793" spans="1:36">
      <c r="A1793" s="1" t="str">
        <f>"9612764FC9"</f>
        <v>9612764FC9</v>
      </c>
      <c r="B1793" s="1" t="str">
        <f t="shared" si="41"/>
        <v>02406911202</v>
      </c>
      <c r="C1793" s="1" t="s">
        <v>13</v>
      </c>
      <c r="D1793" s="1" t="s">
        <v>37</v>
      </c>
      <c r="E1793" s="1" t="s">
        <v>3881</v>
      </c>
      <c r="F1793" s="1" t="s">
        <v>117</v>
      </c>
      <c r="G1793" s="1" t="str">
        <f>"08433930966"</f>
        <v>08433930966</v>
      </c>
      <c r="I1793" s="1" t="s">
        <v>2124</v>
      </c>
      <c r="L1793" s="1" t="s">
        <v>44</v>
      </c>
      <c r="M1793" s="1" t="s">
        <v>3882</v>
      </c>
      <c r="AG1793" s="1" t="s">
        <v>124</v>
      </c>
      <c r="AH1793" s="2">
        <v>44943</v>
      </c>
      <c r="AI1793" s="2">
        <v>46022</v>
      </c>
      <c r="AJ1793" s="2">
        <v>44943</v>
      </c>
    </row>
    <row r="1794" spans="1:36">
      <c r="A1794" s="1" t="str">
        <f>"9611982A77"</f>
        <v>9611982A77</v>
      </c>
      <c r="B1794" s="1" t="str">
        <f t="shared" si="41"/>
        <v>02406911202</v>
      </c>
      <c r="C1794" s="1" t="s">
        <v>13</v>
      </c>
      <c r="D1794" s="1" t="s">
        <v>37</v>
      </c>
      <c r="E1794" s="1" t="s">
        <v>3883</v>
      </c>
      <c r="F1794" s="1" t="s">
        <v>117</v>
      </c>
      <c r="G1794" s="1" t="str">
        <f>"01554220192"</f>
        <v>01554220192</v>
      </c>
      <c r="I1794" s="1" t="s">
        <v>3884</v>
      </c>
      <c r="L1794" s="1" t="s">
        <v>44</v>
      </c>
      <c r="M1794" s="1" t="s">
        <v>3885</v>
      </c>
      <c r="AG1794" s="1" t="s">
        <v>3886</v>
      </c>
      <c r="AH1794" s="2">
        <v>44943</v>
      </c>
      <c r="AI1794" s="2">
        <v>46022</v>
      </c>
      <c r="AJ1794" s="2">
        <v>44943</v>
      </c>
    </row>
    <row r="1795" spans="1:36">
      <c r="A1795" s="1" t="str">
        <f>"9612242109"</f>
        <v>9612242109</v>
      </c>
      <c r="B1795" s="1" t="str">
        <f t="shared" si="41"/>
        <v>02406911202</v>
      </c>
      <c r="C1795" s="1" t="s">
        <v>13</v>
      </c>
      <c r="D1795" s="1" t="s">
        <v>37</v>
      </c>
      <c r="E1795" s="1" t="s">
        <v>3887</v>
      </c>
      <c r="F1795" s="1" t="s">
        <v>117</v>
      </c>
      <c r="G1795" s="1" t="str">
        <f>"15281641009"</f>
        <v>15281641009</v>
      </c>
      <c r="I1795" s="1" t="s">
        <v>1332</v>
      </c>
      <c r="L1795" s="1" t="s">
        <v>44</v>
      </c>
      <c r="M1795" s="1" t="s">
        <v>3888</v>
      </c>
      <c r="AG1795" s="1" t="s">
        <v>3889</v>
      </c>
      <c r="AH1795" s="2">
        <v>44943</v>
      </c>
      <c r="AI1795" s="2">
        <v>46022</v>
      </c>
      <c r="AJ1795" s="2">
        <v>44943</v>
      </c>
    </row>
    <row r="1796" spans="1:36">
      <c r="A1796" s="1" t="str">
        <f>"Z4B399719F"</f>
        <v>Z4B399719F</v>
      </c>
      <c r="B1796" s="1" t="str">
        <f t="shared" si="41"/>
        <v>02406911202</v>
      </c>
      <c r="C1796" s="1" t="s">
        <v>13</v>
      </c>
      <c r="D1796" s="1" t="s">
        <v>1253</v>
      </c>
      <c r="E1796" s="1" t="s">
        <v>1262</v>
      </c>
      <c r="F1796" s="1" t="s">
        <v>49</v>
      </c>
      <c r="H1796" s="1" t="str">
        <f>"331567510"</f>
        <v>331567510</v>
      </c>
      <c r="I1796" s="1" t="s">
        <v>1591</v>
      </c>
      <c r="L1796" s="1" t="s">
        <v>44</v>
      </c>
      <c r="M1796" s="1" t="s">
        <v>1255</v>
      </c>
      <c r="AG1796" s="1" t="s">
        <v>1592</v>
      </c>
      <c r="AH1796" s="2">
        <v>44946</v>
      </c>
      <c r="AI1796" s="2">
        <v>45291</v>
      </c>
      <c r="AJ1796" s="2">
        <v>44946</v>
      </c>
    </row>
    <row r="1797" spans="1:36">
      <c r="A1797" s="1" t="str">
        <f>"9600392E17"</f>
        <v>9600392E17</v>
      </c>
      <c r="B1797" s="1" t="str">
        <f t="shared" si="41"/>
        <v>02406911202</v>
      </c>
      <c r="C1797" s="1" t="s">
        <v>13</v>
      </c>
      <c r="D1797" s="1" t="s">
        <v>1253</v>
      </c>
      <c r="E1797" s="1" t="s">
        <v>1270</v>
      </c>
      <c r="F1797" s="1" t="s">
        <v>49</v>
      </c>
      <c r="H1797" s="1" t="str">
        <f>"825580900B01"</f>
        <v>825580900B01</v>
      </c>
      <c r="I1797" s="1" t="s">
        <v>3890</v>
      </c>
      <c r="L1797" s="1" t="s">
        <v>44</v>
      </c>
      <c r="M1797" s="1" t="s">
        <v>2739</v>
      </c>
      <c r="AG1797" s="1" t="s">
        <v>3891</v>
      </c>
      <c r="AH1797" s="2">
        <v>44946</v>
      </c>
      <c r="AI1797" s="2">
        <v>45291</v>
      </c>
      <c r="AJ1797" s="2">
        <v>44946</v>
      </c>
    </row>
    <row r="1798" spans="1:36">
      <c r="A1798" s="1" t="str">
        <f>"ZE039AAA5A"</f>
        <v>ZE039AAA5A</v>
      </c>
      <c r="B1798" s="1" t="str">
        <f t="shared" ref="B1798:B1861" si="42">"02406911202"</f>
        <v>02406911202</v>
      </c>
      <c r="C1798" s="1" t="s">
        <v>13</v>
      </c>
      <c r="D1798" s="1" t="s">
        <v>1253</v>
      </c>
      <c r="E1798" s="1" t="s">
        <v>1254</v>
      </c>
      <c r="F1798" s="1" t="s">
        <v>49</v>
      </c>
      <c r="G1798" s="1" t="str">
        <f>"01258691003"</f>
        <v>01258691003</v>
      </c>
      <c r="I1798" s="1" t="s">
        <v>2027</v>
      </c>
      <c r="L1798" s="1" t="s">
        <v>44</v>
      </c>
      <c r="M1798" s="1" t="s">
        <v>1255</v>
      </c>
      <c r="AG1798" s="1" t="s">
        <v>3892</v>
      </c>
      <c r="AH1798" s="2">
        <v>44952</v>
      </c>
      <c r="AI1798" s="2">
        <v>45291</v>
      </c>
      <c r="AJ1798" s="2">
        <v>44952</v>
      </c>
    </row>
    <row r="1799" spans="1:36">
      <c r="A1799" s="1" t="str">
        <f>"94134722D7"</f>
        <v>94134722D7</v>
      </c>
      <c r="B1799" s="1" t="str">
        <f t="shared" si="42"/>
        <v>02406911202</v>
      </c>
      <c r="C1799" s="1" t="s">
        <v>13</v>
      </c>
      <c r="D1799" s="1" t="s">
        <v>37</v>
      </c>
      <c r="E1799" s="1" t="s">
        <v>3893</v>
      </c>
      <c r="F1799" s="1" t="s">
        <v>431</v>
      </c>
      <c r="G1799" s="1" t="str">
        <f>"11030881004"</f>
        <v>11030881004</v>
      </c>
      <c r="I1799" s="1" t="s">
        <v>3031</v>
      </c>
      <c r="L1799" s="1" t="s">
        <v>44</v>
      </c>
      <c r="M1799" s="1" t="s">
        <v>3894</v>
      </c>
      <c r="AG1799" s="1" t="s">
        <v>124</v>
      </c>
      <c r="AH1799" s="2">
        <v>44958</v>
      </c>
      <c r="AI1799" s="2">
        <v>46418</v>
      </c>
      <c r="AJ1799" s="2">
        <v>44958</v>
      </c>
    </row>
    <row r="1800" spans="1:36">
      <c r="A1800" s="1" t="str">
        <f>"941349342B"</f>
        <v>941349342B</v>
      </c>
      <c r="B1800" s="1" t="str">
        <f t="shared" si="42"/>
        <v>02406911202</v>
      </c>
      <c r="C1800" s="1" t="s">
        <v>13</v>
      </c>
      <c r="D1800" s="1" t="s">
        <v>37</v>
      </c>
      <c r="E1800" s="1" t="s">
        <v>3895</v>
      </c>
      <c r="F1800" s="1" t="s">
        <v>431</v>
      </c>
      <c r="G1800" s="1" t="str">
        <f>"11030881004"</f>
        <v>11030881004</v>
      </c>
      <c r="I1800" s="1" t="s">
        <v>3031</v>
      </c>
      <c r="L1800" s="1" t="s">
        <v>44</v>
      </c>
      <c r="M1800" s="1" t="s">
        <v>3896</v>
      </c>
      <c r="AG1800" s="1" t="s">
        <v>3897</v>
      </c>
      <c r="AH1800" s="2">
        <v>44958</v>
      </c>
      <c r="AI1800" s="2">
        <v>46418</v>
      </c>
      <c r="AJ1800" s="2">
        <v>44958</v>
      </c>
    </row>
    <row r="1801" spans="1:36">
      <c r="A1801" s="1" t="str">
        <f>"Z6039C4ECA"</f>
        <v>Z6039C4ECA</v>
      </c>
      <c r="B1801" s="1" t="str">
        <f t="shared" si="42"/>
        <v>02406911202</v>
      </c>
      <c r="C1801" s="1" t="s">
        <v>13</v>
      </c>
      <c r="D1801" s="1" t="s">
        <v>205</v>
      </c>
      <c r="E1801" s="1" t="s">
        <v>1686</v>
      </c>
      <c r="F1801" s="1" t="s">
        <v>39</v>
      </c>
      <c r="G1801" s="1" t="str">
        <f>"00432390409"</f>
        <v>00432390409</v>
      </c>
      <c r="I1801" s="1" t="s">
        <v>3898</v>
      </c>
      <c r="L1801" s="1" t="s">
        <v>44</v>
      </c>
      <c r="M1801" s="1" t="s">
        <v>3899</v>
      </c>
      <c r="AG1801" s="1" t="s">
        <v>3900</v>
      </c>
      <c r="AH1801" s="2">
        <v>44927</v>
      </c>
      <c r="AI1801" s="2">
        <v>45291</v>
      </c>
      <c r="AJ1801" s="2">
        <v>44927</v>
      </c>
    </row>
    <row r="1802" spans="1:36">
      <c r="A1802" s="1" t="str">
        <f>"Z1F39C4EEB"</f>
        <v>Z1F39C4EEB</v>
      </c>
      <c r="B1802" s="1" t="str">
        <f t="shared" si="42"/>
        <v>02406911202</v>
      </c>
      <c r="C1802" s="1" t="s">
        <v>13</v>
      </c>
      <c r="D1802" s="1" t="s">
        <v>205</v>
      </c>
      <c r="E1802" s="1" t="s">
        <v>1686</v>
      </c>
      <c r="F1802" s="1" t="s">
        <v>39</v>
      </c>
      <c r="G1802" s="1" t="str">
        <f>"00391170404"</f>
        <v>00391170404</v>
      </c>
      <c r="I1802" s="1" t="s">
        <v>3901</v>
      </c>
      <c r="L1802" s="1" t="s">
        <v>44</v>
      </c>
      <c r="M1802" s="1" t="s">
        <v>3902</v>
      </c>
      <c r="AG1802" s="1" t="s">
        <v>3903</v>
      </c>
      <c r="AH1802" s="2">
        <v>44927</v>
      </c>
      <c r="AI1802" s="2">
        <v>45291</v>
      </c>
      <c r="AJ1802" s="2">
        <v>44927</v>
      </c>
    </row>
    <row r="1803" spans="1:36">
      <c r="A1803" s="1" t="str">
        <f>"Z7E39C4F08"</f>
        <v>Z7E39C4F08</v>
      </c>
      <c r="B1803" s="1" t="str">
        <f t="shared" si="42"/>
        <v>02406911202</v>
      </c>
      <c r="C1803" s="1" t="s">
        <v>13</v>
      </c>
      <c r="D1803" s="1" t="s">
        <v>205</v>
      </c>
      <c r="E1803" s="1" t="s">
        <v>1686</v>
      </c>
      <c r="F1803" s="1" t="s">
        <v>39</v>
      </c>
      <c r="G1803" s="1" t="str">
        <f>"01231970409"</f>
        <v>01231970409</v>
      </c>
      <c r="I1803" s="1" t="s">
        <v>3904</v>
      </c>
      <c r="L1803" s="1" t="s">
        <v>44</v>
      </c>
      <c r="M1803" s="1" t="s">
        <v>3905</v>
      </c>
      <c r="AG1803" s="1" t="s">
        <v>3906</v>
      </c>
      <c r="AH1803" s="2">
        <v>44927</v>
      </c>
      <c r="AI1803" s="2">
        <v>45291</v>
      </c>
      <c r="AJ1803" s="2">
        <v>44927</v>
      </c>
    </row>
    <row r="1804" spans="1:36">
      <c r="A1804" s="1" t="str">
        <f>"ZF839F65D1"</f>
        <v>ZF839F65D1</v>
      </c>
      <c r="B1804" s="1" t="str">
        <f t="shared" si="42"/>
        <v>02406911202</v>
      </c>
      <c r="C1804" s="1" t="s">
        <v>13</v>
      </c>
      <c r="D1804" s="1" t="s">
        <v>205</v>
      </c>
      <c r="E1804" s="1" t="s">
        <v>1686</v>
      </c>
      <c r="F1804" s="1" t="s">
        <v>39</v>
      </c>
      <c r="G1804" s="1" t="str">
        <f>"03831150366"</f>
        <v>03831150366</v>
      </c>
      <c r="I1804" s="1" t="s">
        <v>1774</v>
      </c>
      <c r="L1804" s="1" t="s">
        <v>44</v>
      </c>
      <c r="M1804" s="1" t="s">
        <v>917</v>
      </c>
      <c r="AG1804" s="1" t="s">
        <v>3907</v>
      </c>
      <c r="AH1804" s="2">
        <v>44927</v>
      </c>
      <c r="AI1804" s="2">
        <v>45291</v>
      </c>
      <c r="AJ1804" s="2">
        <v>44927</v>
      </c>
    </row>
    <row r="1805" spans="1:36">
      <c r="A1805" s="1" t="str">
        <f>"ZFA3A1D5EF"</f>
        <v>ZFA3A1D5EF</v>
      </c>
      <c r="B1805" s="1" t="str">
        <f t="shared" si="42"/>
        <v>02406911202</v>
      </c>
      <c r="C1805" s="1" t="s">
        <v>13</v>
      </c>
      <c r="D1805" s="1" t="s">
        <v>1253</v>
      </c>
      <c r="E1805" s="1" t="s">
        <v>1562</v>
      </c>
      <c r="F1805" s="1" t="s">
        <v>49</v>
      </c>
      <c r="G1805" s="1" t="str">
        <f>"11206730159"</f>
        <v>11206730159</v>
      </c>
      <c r="I1805" s="1" t="s">
        <v>192</v>
      </c>
      <c r="L1805" s="1" t="s">
        <v>44</v>
      </c>
      <c r="M1805" s="1" t="s">
        <v>1255</v>
      </c>
      <c r="AG1805" s="1" t="s">
        <v>2562</v>
      </c>
      <c r="AH1805" s="2">
        <v>44981</v>
      </c>
      <c r="AI1805" s="2">
        <v>45291</v>
      </c>
      <c r="AJ1805" s="2">
        <v>44981</v>
      </c>
    </row>
    <row r="1806" spans="1:36">
      <c r="A1806" s="1" t="str">
        <f>"Z393A0DFC8"</f>
        <v>Z393A0DFC8</v>
      </c>
      <c r="B1806" s="1" t="str">
        <f t="shared" si="42"/>
        <v>02406911202</v>
      </c>
      <c r="C1806" s="1" t="s">
        <v>13</v>
      </c>
      <c r="D1806" s="1" t="s">
        <v>205</v>
      </c>
      <c r="E1806" s="1" t="s">
        <v>1686</v>
      </c>
      <c r="F1806" s="1" t="s">
        <v>39</v>
      </c>
      <c r="G1806" s="1" t="str">
        <f>"01804020368"</f>
        <v>01804020368</v>
      </c>
      <c r="I1806" s="1" t="s">
        <v>3908</v>
      </c>
      <c r="L1806" s="1" t="s">
        <v>44</v>
      </c>
      <c r="M1806" s="1" t="s">
        <v>917</v>
      </c>
      <c r="AG1806" s="1" t="s">
        <v>124</v>
      </c>
      <c r="AH1806" s="2">
        <v>44927</v>
      </c>
      <c r="AI1806" s="2">
        <v>45291</v>
      </c>
      <c r="AJ1806" s="2">
        <v>44927</v>
      </c>
    </row>
    <row r="1807" spans="1:36">
      <c r="A1807" s="1" t="str">
        <f>"972302915C"</f>
        <v>972302915C</v>
      </c>
      <c r="B1807" s="1" t="str">
        <f t="shared" si="42"/>
        <v>02406911202</v>
      </c>
      <c r="C1807" s="1" t="s">
        <v>13</v>
      </c>
      <c r="D1807" s="1" t="s">
        <v>1253</v>
      </c>
      <c r="E1807" s="1" t="s">
        <v>1260</v>
      </c>
      <c r="F1807" s="1" t="s">
        <v>49</v>
      </c>
      <c r="G1807" s="1" t="str">
        <f>"09270550016"</f>
        <v>09270550016</v>
      </c>
      <c r="I1807" s="1" t="s">
        <v>1328</v>
      </c>
      <c r="L1807" s="1" t="s">
        <v>44</v>
      </c>
      <c r="M1807" s="1" t="s">
        <v>3909</v>
      </c>
      <c r="AG1807" s="1" t="s">
        <v>3910</v>
      </c>
      <c r="AH1807" s="2">
        <v>45005</v>
      </c>
      <c r="AI1807" s="2">
        <v>45291</v>
      </c>
      <c r="AJ1807" s="2">
        <v>45005</v>
      </c>
    </row>
    <row r="1808" spans="1:36">
      <c r="A1808" s="1" t="str">
        <f>"ZBC3A533B9"</f>
        <v>ZBC3A533B9</v>
      </c>
      <c r="B1808" s="1" t="str">
        <f t="shared" si="42"/>
        <v>02406911202</v>
      </c>
      <c r="C1808" s="1" t="s">
        <v>13</v>
      </c>
      <c r="D1808" s="1" t="s">
        <v>1253</v>
      </c>
      <c r="E1808" s="1" t="s">
        <v>1317</v>
      </c>
      <c r="F1808" s="1" t="s">
        <v>49</v>
      </c>
      <c r="G1808" s="1" t="str">
        <f>"06032681006"</f>
        <v>06032681006</v>
      </c>
      <c r="I1808" s="1" t="s">
        <v>1351</v>
      </c>
      <c r="L1808" s="1" t="s">
        <v>44</v>
      </c>
      <c r="M1808" s="1" t="s">
        <v>1255</v>
      </c>
      <c r="AG1808" s="1" t="s">
        <v>3911</v>
      </c>
      <c r="AH1808" s="2">
        <v>45005</v>
      </c>
      <c r="AI1808" s="2">
        <v>45291</v>
      </c>
      <c r="AJ1808" s="2">
        <v>45005</v>
      </c>
    </row>
    <row r="1809" spans="1:36">
      <c r="A1809" s="1" t="str">
        <f>"ZC439A3403"</f>
        <v>ZC439A3403</v>
      </c>
      <c r="B1809" s="1" t="str">
        <f t="shared" si="42"/>
        <v>02406911202</v>
      </c>
      <c r="C1809" s="1" t="s">
        <v>13</v>
      </c>
      <c r="D1809" s="1" t="s">
        <v>1253</v>
      </c>
      <c r="E1809" s="1" t="s">
        <v>3912</v>
      </c>
      <c r="F1809" s="1" t="s">
        <v>49</v>
      </c>
      <c r="G1809" s="1" t="str">
        <f>"12792100153"</f>
        <v>12792100153</v>
      </c>
      <c r="I1809" s="1" t="s">
        <v>803</v>
      </c>
      <c r="L1809" s="1" t="s">
        <v>44</v>
      </c>
      <c r="M1809" s="1" t="s">
        <v>1255</v>
      </c>
      <c r="AG1809" s="1" t="s">
        <v>3913</v>
      </c>
      <c r="AH1809" s="2">
        <v>44950</v>
      </c>
      <c r="AI1809" s="2">
        <v>45291</v>
      </c>
      <c r="AJ1809" s="2">
        <v>44950</v>
      </c>
    </row>
    <row r="1810" spans="1:36">
      <c r="A1810" s="1" t="str">
        <f>"957852942F"</f>
        <v>957852942F</v>
      </c>
      <c r="B1810" s="1" t="str">
        <f t="shared" si="42"/>
        <v>02406911202</v>
      </c>
      <c r="C1810" s="1" t="s">
        <v>13</v>
      </c>
      <c r="D1810" s="1" t="s">
        <v>37</v>
      </c>
      <c r="E1810" s="1" t="s">
        <v>3914</v>
      </c>
      <c r="F1810" s="1" t="s">
        <v>117</v>
      </c>
      <c r="G1810" s="1" t="str">
        <f>"09158150962"</f>
        <v>09158150962</v>
      </c>
      <c r="I1810" s="1" t="s">
        <v>72</v>
      </c>
      <c r="L1810" s="1" t="s">
        <v>44</v>
      </c>
      <c r="M1810" s="1" t="s">
        <v>3915</v>
      </c>
      <c r="AG1810" s="1" t="s">
        <v>3916</v>
      </c>
      <c r="AH1810" s="2">
        <v>44960</v>
      </c>
      <c r="AI1810" s="2">
        <v>46058</v>
      </c>
      <c r="AJ1810" s="2">
        <v>44960</v>
      </c>
    </row>
    <row r="1811" spans="1:36">
      <c r="A1811" s="1" t="str">
        <f>"9578891EE7"</f>
        <v>9578891EE7</v>
      </c>
      <c r="B1811" s="1" t="str">
        <f t="shared" si="42"/>
        <v>02406911202</v>
      </c>
      <c r="C1811" s="1" t="s">
        <v>13</v>
      </c>
      <c r="D1811" s="1" t="s">
        <v>37</v>
      </c>
      <c r="E1811" s="1" t="s">
        <v>3917</v>
      </c>
      <c r="F1811" s="1" t="s">
        <v>117</v>
      </c>
      <c r="G1811" s="1" t="str">
        <f>"00691781207"</f>
        <v>00691781207</v>
      </c>
      <c r="I1811" s="1" t="s">
        <v>704</v>
      </c>
      <c r="L1811" s="1" t="s">
        <v>44</v>
      </c>
      <c r="M1811" s="1" t="s">
        <v>3918</v>
      </c>
      <c r="AG1811" s="1" t="s">
        <v>3919</v>
      </c>
      <c r="AH1811" s="2">
        <v>44960</v>
      </c>
      <c r="AI1811" s="2">
        <v>46058</v>
      </c>
      <c r="AJ1811" s="2">
        <v>44960</v>
      </c>
    </row>
    <row r="1812" spans="1:36">
      <c r="A1812" s="1" t="str">
        <f>"95789320C1"</f>
        <v>95789320C1</v>
      </c>
      <c r="B1812" s="1" t="str">
        <f t="shared" si="42"/>
        <v>02406911202</v>
      </c>
      <c r="C1812" s="1" t="s">
        <v>13</v>
      </c>
      <c r="D1812" s="1" t="s">
        <v>37</v>
      </c>
      <c r="E1812" s="1" t="s">
        <v>3920</v>
      </c>
      <c r="F1812" s="1" t="s">
        <v>117</v>
      </c>
      <c r="G1812" s="1" t="str">
        <f>"02556750368"</f>
        <v>02556750368</v>
      </c>
      <c r="I1812" s="1" t="s">
        <v>3921</v>
      </c>
      <c r="L1812" s="1" t="s">
        <v>44</v>
      </c>
      <c r="M1812" s="1" t="s">
        <v>3836</v>
      </c>
      <c r="AG1812" s="1" t="s">
        <v>2261</v>
      </c>
      <c r="AH1812" s="2">
        <v>44960</v>
      </c>
      <c r="AI1812" s="2">
        <v>46058</v>
      </c>
      <c r="AJ1812" s="2">
        <v>44960</v>
      </c>
    </row>
    <row r="1813" spans="1:36">
      <c r="A1813" s="1" t="str">
        <f>"9579004C28"</f>
        <v>9579004C28</v>
      </c>
      <c r="B1813" s="1" t="str">
        <f t="shared" si="42"/>
        <v>02406911202</v>
      </c>
      <c r="C1813" s="1" t="s">
        <v>13</v>
      </c>
      <c r="D1813" s="1" t="s">
        <v>37</v>
      </c>
      <c r="E1813" s="1" t="s">
        <v>3922</v>
      </c>
      <c r="F1813" s="1" t="s">
        <v>117</v>
      </c>
      <c r="G1813" s="1" t="str">
        <f>"00847380961"</f>
        <v>00847380961</v>
      </c>
      <c r="I1813" s="1" t="s">
        <v>1503</v>
      </c>
      <c r="L1813" s="1" t="s">
        <v>44</v>
      </c>
      <c r="M1813" s="1" t="s">
        <v>3923</v>
      </c>
      <c r="AG1813" s="1" t="s">
        <v>3924</v>
      </c>
      <c r="AH1813" s="2">
        <v>44960</v>
      </c>
      <c r="AI1813" s="2">
        <v>46058</v>
      </c>
      <c r="AJ1813" s="2">
        <v>44960</v>
      </c>
    </row>
    <row r="1814" spans="1:36">
      <c r="A1814" s="1" t="str">
        <f>"Z0139A3270"</f>
        <v>Z0139A3270</v>
      </c>
      <c r="B1814" s="1" t="str">
        <f t="shared" si="42"/>
        <v>02406911202</v>
      </c>
      <c r="C1814" s="1" t="s">
        <v>13</v>
      </c>
      <c r="D1814" s="1" t="s">
        <v>205</v>
      </c>
      <c r="E1814" s="1" t="s">
        <v>3925</v>
      </c>
      <c r="F1814" s="1" t="s">
        <v>49</v>
      </c>
      <c r="G1814" s="1" t="str">
        <f>"03832941201"</f>
        <v>03832941201</v>
      </c>
      <c r="I1814" s="1" t="s">
        <v>3926</v>
      </c>
      <c r="L1814" s="1" t="s">
        <v>44</v>
      </c>
      <c r="M1814" s="1" t="s">
        <v>3927</v>
      </c>
      <c r="AG1814" s="1" t="s">
        <v>3927</v>
      </c>
      <c r="AH1814" s="2">
        <v>44960</v>
      </c>
      <c r="AI1814" s="2">
        <v>45290</v>
      </c>
      <c r="AJ1814" s="2">
        <v>44960</v>
      </c>
    </row>
    <row r="1815" spans="1:36">
      <c r="A1815" s="1" t="str">
        <f>"961899776E"</f>
        <v>961899776E</v>
      </c>
      <c r="B1815" s="1" t="str">
        <f t="shared" si="42"/>
        <v>02406911202</v>
      </c>
      <c r="C1815" s="1" t="s">
        <v>13</v>
      </c>
      <c r="D1815" s="1" t="s">
        <v>37</v>
      </c>
      <c r="E1815" s="1" t="s">
        <v>3928</v>
      </c>
      <c r="F1815" s="1" t="s">
        <v>117</v>
      </c>
      <c r="G1815" s="1" t="str">
        <f>"04479460158"</f>
        <v>04479460158</v>
      </c>
      <c r="I1815" s="1" t="s">
        <v>2909</v>
      </c>
      <c r="L1815" s="1" t="s">
        <v>44</v>
      </c>
      <c r="M1815" s="1" t="s">
        <v>3929</v>
      </c>
      <c r="AG1815" s="1" t="s">
        <v>3930</v>
      </c>
      <c r="AH1815" s="2">
        <v>44943</v>
      </c>
      <c r="AI1815" s="2">
        <v>46022</v>
      </c>
      <c r="AJ1815" s="2">
        <v>44943</v>
      </c>
    </row>
    <row r="1816" spans="1:36">
      <c r="A1816" s="1" t="str">
        <f>"Z7D39D8F60"</f>
        <v>Z7D39D8F60</v>
      </c>
      <c r="B1816" s="1" t="str">
        <f t="shared" si="42"/>
        <v>02406911202</v>
      </c>
      <c r="C1816" s="1" t="s">
        <v>13</v>
      </c>
      <c r="D1816" s="1" t="s">
        <v>1312</v>
      </c>
      <c r="E1816" s="1" t="s">
        <v>3931</v>
      </c>
      <c r="F1816" s="1" t="s">
        <v>49</v>
      </c>
      <c r="G1816" s="1" t="str">
        <f>"01847901202"</f>
        <v>01847901202</v>
      </c>
      <c r="I1816" s="1" t="s">
        <v>1612</v>
      </c>
      <c r="L1816" s="1" t="s">
        <v>44</v>
      </c>
      <c r="M1816" s="1" t="s">
        <v>1314</v>
      </c>
      <c r="AG1816" s="1" t="s">
        <v>3932</v>
      </c>
      <c r="AH1816" s="2">
        <v>44964</v>
      </c>
      <c r="AI1816" s="2">
        <v>45291</v>
      </c>
      <c r="AJ1816" s="2">
        <v>44964</v>
      </c>
    </row>
    <row r="1817" spans="1:36">
      <c r="A1817" s="1" t="str">
        <f>"ZB939C93E1"</f>
        <v>ZB939C93E1</v>
      </c>
      <c r="B1817" s="1" t="str">
        <f t="shared" si="42"/>
        <v>02406911202</v>
      </c>
      <c r="C1817" s="1" t="s">
        <v>13</v>
      </c>
      <c r="D1817" s="1" t="s">
        <v>205</v>
      </c>
      <c r="E1817" s="1" t="s">
        <v>1677</v>
      </c>
      <c r="F1817" s="1" t="s">
        <v>39</v>
      </c>
      <c r="G1817" s="1" t="str">
        <f>"02666500406"</f>
        <v>02666500406</v>
      </c>
      <c r="I1817" s="1" t="s">
        <v>2790</v>
      </c>
      <c r="L1817" s="1" t="s">
        <v>44</v>
      </c>
      <c r="M1817" s="1" t="s">
        <v>1996</v>
      </c>
      <c r="AG1817" s="1" t="s">
        <v>3933</v>
      </c>
      <c r="AH1817" s="2">
        <v>44927</v>
      </c>
      <c r="AI1817" s="2">
        <v>45291</v>
      </c>
      <c r="AJ1817" s="2">
        <v>44927</v>
      </c>
    </row>
    <row r="1818" spans="1:36">
      <c r="A1818" s="1" t="str">
        <f>"9538523E2D"</f>
        <v>9538523E2D</v>
      </c>
      <c r="B1818" s="1" t="str">
        <f t="shared" si="42"/>
        <v>02406911202</v>
      </c>
      <c r="C1818" s="1" t="s">
        <v>13</v>
      </c>
      <c r="D1818" s="1" t="s">
        <v>37</v>
      </c>
      <c r="E1818" s="1" t="s">
        <v>3934</v>
      </c>
      <c r="F1818" s="1" t="s">
        <v>49</v>
      </c>
      <c r="H1818" s="1" t="str">
        <f>"55904686320"</f>
        <v>55904686320</v>
      </c>
      <c r="I1818" s="1" t="s">
        <v>3935</v>
      </c>
      <c r="L1818" s="1" t="s">
        <v>44</v>
      </c>
      <c r="M1818" s="1" t="s">
        <v>3936</v>
      </c>
      <c r="AG1818" s="1" t="s">
        <v>3937</v>
      </c>
      <c r="AH1818" s="2">
        <v>44964</v>
      </c>
      <c r="AI1818" s="2">
        <v>44964</v>
      </c>
      <c r="AJ1818" s="2">
        <v>44964</v>
      </c>
    </row>
    <row r="1819" spans="1:36">
      <c r="A1819" s="1" t="str">
        <f>"ZED39C942B"</f>
        <v>ZED39C942B</v>
      </c>
      <c r="B1819" s="1" t="str">
        <f t="shared" si="42"/>
        <v>02406911202</v>
      </c>
      <c r="C1819" s="1" t="s">
        <v>13</v>
      </c>
      <c r="D1819" s="1" t="s">
        <v>205</v>
      </c>
      <c r="E1819" s="1" t="s">
        <v>1677</v>
      </c>
      <c r="F1819" s="1" t="s">
        <v>39</v>
      </c>
      <c r="G1819" s="1" t="str">
        <f>"02006130401"</f>
        <v>02006130401</v>
      </c>
      <c r="I1819" s="1" t="s">
        <v>3938</v>
      </c>
      <c r="L1819" s="1" t="s">
        <v>44</v>
      </c>
      <c r="M1819" s="1" t="s">
        <v>3939</v>
      </c>
      <c r="AG1819" s="1" t="s">
        <v>3940</v>
      </c>
      <c r="AH1819" s="2">
        <v>44927</v>
      </c>
      <c r="AI1819" s="2">
        <v>45291</v>
      </c>
      <c r="AJ1819" s="2">
        <v>44927</v>
      </c>
    </row>
    <row r="1820" spans="1:36">
      <c r="A1820" s="1" t="str">
        <f>"Z5C39C944E"</f>
        <v>Z5C39C944E</v>
      </c>
      <c r="B1820" s="1" t="str">
        <f t="shared" si="42"/>
        <v>02406911202</v>
      </c>
      <c r="C1820" s="1" t="s">
        <v>13</v>
      </c>
      <c r="D1820" s="1" t="s">
        <v>205</v>
      </c>
      <c r="E1820" s="1" t="s">
        <v>1677</v>
      </c>
      <c r="F1820" s="1" t="s">
        <v>39</v>
      </c>
      <c r="G1820" s="1" t="str">
        <f>"00120460399"</f>
        <v>00120460399</v>
      </c>
      <c r="I1820" s="1" t="s">
        <v>2308</v>
      </c>
      <c r="L1820" s="1" t="s">
        <v>44</v>
      </c>
      <c r="M1820" s="1" t="s">
        <v>3941</v>
      </c>
      <c r="AG1820" s="1" t="s">
        <v>3942</v>
      </c>
      <c r="AH1820" s="2">
        <v>44927</v>
      </c>
      <c r="AI1820" s="2">
        <v>45291</v>
      </c>
      <c r="AJ1820" s="2">
        <v>44927</v>
      </c>
    </row>
    <row r="1821" spans="1:36">
      <c r="A1821" s="1" t="str">
        <f>"Z9739C9485"</f>
        <v>Z9739C9485</v>
      </c>
      <c r="B1821" s="1" t="str">
        <f t="shared" si="42"/>
        <v>02406911202</v>
      </c>
      <c r="C1821" s="1" t="s">
        <v>13</v>
      </c>
      <c r="D1821" s="1" t="s">
        <v>205</v>
      </c>
      <c r="E1821" s="1" t="s">
        <v>1677</v>
      </c>
      <c r="F1821" s="1" t="s">
        <v>39</v>
      </c>
      <c r="G1821" s="1" t="str">
        <f>"00281560409"</f>
        <v>00281560409</v>
      </c>
      <c r="I1821" s="1" t="s">
        <v>3604</v>
      </c>
      <c r="L1821" s="1" t="s">
        <v>44</v>
      </c>
      <c r="M1821" s="1" t="s">
        <v>3943</v>
      </c>
      <c r="AG1821" s="1" t="s">
        <v>3944</v>
      </c>
      <c r="AH1821" s="2">
        <v>44927</v>
      </c>
      <c r="AI1821" s="2">
        <v>45291</v>
      </c>
      <c r="AJ1821" s="2">
        <v>44927</v>
      </c>
    </row>
    <row r="1822" spans="1:36">
      <c r="A1822" s="1" t="str">
        <f>"Z9F39C94B7"</f>
        <v>Z9F39C94B7</v>
      </c>
      <c r="B1822" s="1" t="str">
        <f t="shared" si="42"/>
        <v>02406911202</v>
      </c>
      <c r="C1822" s="1" t="s">
        <v>13</v>
      </c>
      <c r="D1822" s="1" t="s">
        <v>205</v>
      </c>
      <c r="E1822" s="1" t="s">
        <v>1677</v>
      </c>
      <c r="F1822" s="1" t="s">
        <v>39</v>
      </c>
      <c r="G1822" s="1" t="str">
        <f>"00485390363"</f>
        <v>00485390363</v>
      </c>
      <c r="I1822" s="1" t="s">
        <v>2310</v>
      </c>
      <c r="L1822" s="1" t="s">
        <v>44</v>
      </c>
      <c r="M1822" s="1" t="s">
        <v>2208</v>
      </c>
      <c r="AG1822" s="1" t="s">
        <v>3945</v>
      </c>
      <c r="AH1822" s="2">
        <v>44927</v>
      </c>
      <c r="AI1822" s="2">
        <v>45291</v>
      </c>
      <c r="AJ1822" s="2">
        <v>44927</v>
      </c>
    </row>
    <row r="1823" spans="1:36">
      <c r="A1823" s="1" t="str">
        <f>"95790702A2"</f>
        <v>95790702A2</v>
      </c>
      <c r="B1823" s="1" t="str">
        <f t="shared" si="42"/>
        <v>02406911202</v>
      </c>
      <c r="C1823" s="1" t="s">
        <v>13</v>
      </c>
      <c r="D1823" s="1" t="s">
        <v>37</v>
      </c>
      <c r="E1823" s="1" t="s">
        <v>3946</v>
      </c>
      <c r="F1823" s="1" t="s">
        <v>431</v>
      </c>
      <c r="G1823" s="1" t="str">
        <f>"01244670335"</f>
        <v>01244670335</v>
      </c>
      <c r="I1823" s="1" t="s">
        <v>1443</v>
      </c>
      <c r="L1823" s="1" t="s">
        <v>44</v>
      </c>
      <c r="M1823" s="1" t="s">
        <v>3947</v>
      </c>
      <c r="AG1823" s="1" t="s">
        <v>3948</v>
      </c>
      <c r="AH1823" s="2">
        <v>44986</v>
      </c>
      <c r="AI1823" s="2">
        <v>46081</v>
      </c>
      <c r="AJ1823" s="2">
        <v>44986</v>
      </c>
    </row>
    <row r="1824" spans="1:36">
      <c r="A1824" s="1" t="str">
        <f>"Z203A2ABBF"</f>
        <v>Z203A2ABBF</v>
      </c>
      <c r="B1824" s="1" t="str">
        <f t="shared" si="42"/>
        <v>02406911202</v>
      </c>
      <c r="C1824" s="1" t="s">
        <v>13</v>
      </c>
      <c r="D1824" s="1" t="s">
        <v>1253</v>
      </c>
      <c r="E1824" s="1" t="s">
        <v>1270</v>
      </c>
      <c r="F1824" s="1" t="s">
        <v>49</v>
      </c>
      <c r="G1824" s="1" t="str">
        <f>"02691021204"</f>
        <v>02691021204</v>
      </c>
      <c r="I1824" s="1" t="s">
        <v>1799</v>
      </c>
      <c r="L1824" s="1" t="s">
        <v>44</v>
      </c>
      <c r="M1824" s="1" t="s">
        <v>153</v>
      </c>
      <c r="AG1824" s="1" t="s">
        <v>124</v>
      </c>
      <c r="AH1824" s="2">
        <v>44986</v>
      </c>
      <c r="AI1824" s="2">
        <v>45291</v>
      </c>
      <c r="AJ1824" s="2">
        <v>44986</v>
      </c>
    </row>
    <row r="1825" spans="1:36">
      <c r="A1825" s="1" t="str">
        <f>"Z9E3A492AF"</f>
        <v>Z9E3A492AF</v>
      </c>
      <c r="B1825" s="1" t="str">
        <f t="shared" si="42"/>
        <v>02406911202</v>
      </c>
      <c r="C1825" s="1" t="s">
        <v>13</v>
      </c>
      <c r="D1825" s="1" t="s">
        <v>1257</v>
      </c>
      <c r="E1825" s="1" t="s">
        <v>3949</v>
      </c>
      <c r="F1825" s="1" t="s">
        <v>49</v>
      </c>
      <c r="G1825" s="1" t="str">
        <f>"08817300158"</f>
        <v>08817300158</v>
      </c>
      <c r="I1825" s="1" t="s">
        <v>2555</v>
      </c>
      <c r="L1825" s="1" t="s">
        <v>44</v>
      </c>
      <c r="M1825" s="1" t="s">
        <v>3950</v>
      </c>
      <c r="AG1825" s="1" t="s">
        <v>3950</v>
      </c>
      <c r="AH1825" s="2">
        <v>44993</v>
      </c>
      <c r="AI1825" s="2">
        <v>45000</v>
      </c>
      <c r="AJ1825" s="2">
        <v>44993</v>
      </c>
    </row>
    <row r="1826" spans="1:36">
      <c r="A1826" s="1" t="str">
        <f>"ZCB3A49407"</f>
        <v>ZCB3A49407</v>
      </c>
      <c r="B1826" s="1" t="str">
        <f t="shared" si="42"/>
        <v>02406911202</v>
      </c>
      <c r="C1826" s="1" t="s">
        <v>13</v>
      </c>
      <c r="D1826" s="1" t="s">
        <v>1253</v>
      </c>
      <c r="E1826" s="1" t="s">
        <v>1260</v>
      </c>
      <c r="F1826" s="1" t="s">
        <v>49</v>
      </c>
      <c r="G1826" s="1" t="str">
        <f>"04529970404"</f>
        <v>04529970404</v>
      </c>
      <c r="I1826" s="1" t="s">
        <v>3951</v>
      </c>
      <c r="L1826" s="1" t="s">
        <v>44</v>
      </c>
      <c r="M1826" s="1" t="s">
        <v>1255</v>
      </c>
      <c r="AG1826" s="1" t="s">
        <v>3952</v>
      </c>
      <c r="AH1826" s="2">
        <v>44993</v>
      </c>
      <c r="AI1826" s="2">
        <v>45016</v>
      </c>
      <c r="AJ1826" s="2">
        <v>44993</v>
      </c>
    </row>
    <row r="1827" spans="1:36">
      <c r="A1827" s="1" t="str">
        <f>"9707999E32"</f>
        <v>9707999E32</v>
      </c>
      <c r="B1827" s="1" t="str">
        <f t="shared" si="42"/>
        <v>02406911202</v>
      </c>
      <c r="C1827" s="1" t="s">
        <v>13</v>
      </c>
      <c r="D1827" s="1" t="s">
        <v>1253</v>
      </c>
      <c r="E1827" s="1" t="s">
        <v>1260</v>
      </c>
      <c r="F1827" s="1" t="s">
        <v>49</v>
      </c>
      <c r="G1827" s="1" t="str">
        <f>"03638130280"</f>
        <v>03638130280</v>
      </c>
      <c r="I1827" s="1" t="s">
        <v>3953</v>
      </c>
      <c r="L1827" s="1" t="s">
        <v>44</v>
      </c>
      <c r="M1827" s="1" t="s">
        <v>3954</v>
      </c>
      <c r="AG1827" s="1" t="s">
        <v>3955</v>
      </c>
      <c r="AH1827" s="2">
        <v>45009</v>
      </c>
      <c r="AI1827" s="2">
        <v>45291</v>
      </c>
      <c r="AJ1827" s="2">
        <v>45009</v>
      </c>
    </row>
    <row r="1828" spans="1:36">
      <c r="A1828" s="1" t="str">
        <f>"Z963A8300D"</f>
        <v>Z963A8300D</v>
      </c>
      <c r="B1828" s="1" t="str">
        <f t="shared" si="42"/>
        <v>02406911202</v>
      </c>
      <c r="C1828" s="1" t="s">
        <v>13</v>
      </c>
      <c r="D1828" s="1" t="s">
        <v>1253</v>
      </c>
      <c r="E1828" s="1" t="s">
        <v>1317</v>
      </c>
      <c r="F1828" s="1" t="s">
        <v>49</v>
      </c>
      <c r="G1828" s="1" t="str">
        <f>"06032681006"</f>
        <v>06032681006</v>
      </c>
      <c r="I1828" s="1" t="s">
        <v>1351</v>
      </c>
      <c r="L1828" s="1" t="s">
        <v>44</v>
      </c>
      <c r="M1828" s="1" t="s">
        <v>1255</v>
      </c>
      <c r="AG1828" s="1" t="s">
        <v>3956</v>
      </c>
      <c r="AH1828" s="2">
        <v>45009</v>
      </c>
      <c r="AI1828" s="2">
        <v>45291</v>
      </c>
      <c r="AJ1828" s="2">
        <v>45009</v>
      </c>
    </row>
    <row r="1829" spans="1:36">
      <c r="A1829" s="1" t="str">
        <f>"Z903A83065"</f>
        <v>Z903A83065</v>
      </c>
      <c r="B1829" s="1" t="str">
        <f t="shared" si="42"/>
        <v>02406911202</v>
      </c>
      <c r="C1829" s="1" t="s">
        <v>13</v>
      </c>
      <c r="D1829" s="1" t="s">
        <v>1253</v>
      </c>
      <c r="E1829" s="1" t="s">
        <v>1317</v>
      </c>
      <c r="F1829" s="1" t="s">
        <v>49</v>
      </c>
      <c r="G1829" s="1" t="str">
        <f>"08075151004"</f>
        <v>08075151004</v>
      </c>
      <c r="I1829" s="1" t="s">
        <v>3957</v>
      </c>
      <c r="L1829" s="1" t="s">
        <v>44</v>
      </c>
      <c r="M1829" s="1" t="s">
        <v>1255</v>
      </c>
      <c r="AG1829" s="1" t="s">
        <v>3362</v>
      </c>
      <c r="AH1829" s="2">
        <v>45009</v>
      </c>
      <c r="AI1829" s="2">
        <v>45291</v>
      </c>
      <c r="AJ1829" s="2">
        <v>45009</v>
      </c>
    </row>
    <row r="1830" spans="1:36">
      <c r="A1830" s="1" t="str">
        <f>"Z5A3A8308C"</f>
        <v>Z5A3A8308C</v>
      </c>
      <c r="B1830" s="1" t="str">
        <f t="shared" si="42"/>
        <v>02406911202</v>
      </c>
      <c r="C1830" s="1" t="s">
        <v>13</v>
      </c>
      <c r="D1830" s="1" t="s">
        <v>1253</v>
      </c>
      <c r="E1830" s="1" t="s">
        <v>1317</v>
      </c>
      <c r="F1830" s="1" t="s">
        <v>49</v>
      </c>
      <c r="G1830" s="1" t="str">
        <f>"08075151004"</f>
        <v>08075151004</v>
      </c>
      <c r="I1830" s="1" t="s">
        <v>3957</v>
      </c>
      <c r="L1830" s="1" t="s">
        <v>44</v>
      </c>
      <c r="M1830" s="1" t="s">
        <v>1255</v>
      </c>
      <c r="AG1830" s="1" t="s">
        <v>3362</v>
      </c>
      <c r="AH1830" s="2">
        <v>45009</v>
      </c>
      <c r="AI1830" s="2">
        <v>45291</v>
      </c>
      <c r="AJ1830" s="2">
        <v>45009</v>
      </c>
    </row>
    <row r="1831" spans="1:36">
      <c r="A1831" s="1" t="str">
        <f>"ZD33A830CE"</f>
        <v>ZD33A830CE</v>
      </c>
      <c r="B1831" s="1" t="str">
        <f t="shared" si="42"/>
        <v>02406911202</v>
      </c>
      <c r="C1831" s="1" t="s">
        <v>13</v>
      </c>
      <c r="D1831" s="1" t="s">
        <v>1253</v>
      </c>
      <c r="E1831" s="1" t="s">
        <v>1317</v>
      </c>
      <c r="F1831" s="1" t="s">
        <v>49</v>
      </c>
      <c r="G1831" s="1" t="str">
        <f>"02173550282"</f>
        <v>02173550282</v>
      </c>
      <c r="I1831" s="1" t="s">
        <v>634</v>
      </c>
      <c r="L1831" s="1" t="s">
        <v>44</v>
      </c>
      <c r="M1831" s="1" t="s">
        <v>1255</v>
      </c>
      <c r="AG1831" s="1" t="s">
        <v>3958</v>
      </c>
      <c r="AH1831" s="2">
        <v>45009</v>
      </c>
      <c r="AI1831" s="2">
        <v>45291</v>
      </c>
      <c r="AJ1831" s="2">
        <v>45009</v>
      </c>
    </row>
    <row r="1832" spans="1:36">
      <c r="A1832" s="1" t="str">
        <f>"96501503B4"</f>
        <v>96501503B4</v>
      </c>
      <c r="B1832" s="1" t="str">
        <f t="shared" si="42"/>
        <v>02406911202</v>
      </c>
      <c r="C1832" s="1" t="s">
        <v>13</v>
      </c>
      <c r="D1832" s="1" t="s">
        <v>37</v>
      </c>
      <c r="E1832" s="1" t="s">
        <v>3959</v>
      </c>
      <c r="F1832" s="1" t="s">
        <v>49</v>
      </c>
      <c r="G1832" s="1" t="str">
        <f>"00721920155"</f>
        <v>00721920155</v>
      </c>
      <c r="I1832" s="1" t="s">
        <v>1901</v>
      </c>
      <c r="L1832" s="1" t="s">
        <v>44</v>
      </c>
      <c r="M1832" s="1" t="s">
        <v>3960</v>
      </c>
      <c r="AG1832" s="1" t="s">
        <v>3961</v>
      </c>
      <c r="AH1832" s="2">
        <v>45009</v>
      </c>
      <c r="AI1832" s="2">
        <v>45291</v>
      </c>
      <c r="AJ1832" s="2">
        <v>45009</v>
      </c>
    </row>
    <row r="1833" spans="1:36">
      <c r="A1833" s="1" t="str">
        <f>"Z473A85F64"</f>
        <v>Z473A85F64</v>
      </c>
      <c r="B1833" s="1" t="str">
        <f t="shared" si="42"/>
        <v>02406911202</v>
      </c>
      <c r="C1833" s="1" t="s">
        <v>13</v>
      </c>
      <c r="D1833" s="1" t="s">
        <v>1253</v>
      </c>
      <c r="E1833" s="1" t="s">
        <v>1262</v>
      </c>
      <c r="F1833" s="1" t="s">
        <v>49</v>
      </c>
      <c r="G1833" s="1" t="str">
        <f>"11271521004"</f>
        <v>11271521004</v>
      </c>
      <c r="I1833" s="1" t="s">
        <v>3355</v>
      </c>
      <c r="L1833" s="1" t="s">
        <v>44</v>
      </c>
      <c r="M1833" s="1" t="s">
        <v>1255</v>
      </c>
      <c r="AG1833" s="1" t="s">
        <v>3962</v>
      </c>
      <c r="AH1833" s="2">
        <v>45009</v>
      </c>
      <c r="AI1833" s="2">
        <v>45291</v>
      </c>
      <c r="AJ1833" s="2">
        <v>45009</v>
      </c>
    </row>
    <row r="1834" spans="1:36">
      <c r="A1834" s="1" t="str">
        <f>"Z5C3A85F2B"</f>
        <v>Z5C3A85F2B</v>
      </c>
      <c r="B1834" s="1" t="str">
        <f t="shared" si="42"/>
        <v>02406911202</v>
      </c>
      <c r="C1834" s="1" t="s">
        <v>13</v>
      </c>
      <c r="D1834" s="1" t="s">
        <v>1253</v>
      </c>
      <c r="E1834" s="1" t="s">
        <v>1260</v>
      </c>
      <c r="F1834" s="1" t="s">
        <v>49</v>
      </c>
      <c r="G1834" s="1" t="str">
        <f>"06032681006"</f>
        <v>06032681006</v>
      </c>
      <c r="I1834" s="1" t="s">
        <v>1351</v>
      </c>
      <c r="L1834" s="1" t="s">
        <v>44</v>
      </c>
      <c r="M1834" s="1" t="s">
        <v>1255</v>
      </c>
      <c r="AG1834" s="1" t="s">
        <v>3963</v>
      </c>
      <c r="AH1834" s="2">
        <v>45009</v>
      </c>
      <c r="AI1834" s="2">
        <v>45291</v>
      </c>
      <c r="AJ1834" s="2">
        <v>45009</v>
      </c>
    </row>
    <row r="1835" spans="1:36">
      <c r="A1835" s="1" t="str">
        <f>"Z683A85F76"</f>
        <v>Z683A85F76</v>
      </c>
      <c r="B1835" s="1" t="str">
        <f t="shared" si="42"/>
        <v>02406911202</v>
      </c>
      <c r="C1835" s="1" t="s">
        <v>13</v>
      </c>
      <c r="D1835" s="1" t="s">
        <v>1253</v>
      </c>
      <c r="E1835" s="1" t="s">
        <v>1260</v>
      </c>
      <c r="F1835" s="1" t="s">
        <v>49</v>
      </c>
      <c r="G1835" s="1" t="str">
        <f>"06828580966"</f>
        <v>06828580966</v>
      </c>
      <c r="I1835" s="1" t="s">
        <v>3704</v>
      </c>
      <c r="L1835" s="1" t="s">
        <v>44</v>
      </c>
      <c r="M1835" s="1" t="s">
        <v>1255</v>
      </c>
      <c r="AG1835" s="1" t="s">
        <v>3964</v>
      </c>
      <c r="AH1835" s="2">
        <v>45009</v>
      </c>
      <c r="AI1835" s="2">
        <v>45291</v>
      </c>
      <c r="AJ1835" s="2">
        <v>45009</v>
      </c>
    </row>
    <row r="1836" spans="1:36">
      <c r="A1836" s="1" t="str">
        <f>"Z913A85FBA"</f>
        <v>Z913A85FBA</v>
      </c>
      <c r="B1836" s="1" t="str">
        <f t="shared" si="42"/>
        <v>02406911202</v>
      </c>
      <c r="C1836" s="1" t="s">
        <v>13</v>
      </c>
      <c r="D1836" s="1" t="s">
        <v>1253</v>
      </c>
      <c r="E1836" s="1" t="s">
        <v>1260</v>
      </c>
      <c r="F1836" s="1" t="s">
        <v>49</v>
      </c>
      <c r="G1836" s="1" t="str">
        <f>"01630000287"</f>
        <v>01630000287</v>
      </c>
      <c r="I1836" s="1" t="s">
        <v>1470</v>
      </c>
      <c r="L1836" s="1" t="s">
        <v>44</v>
      </c>
      <c r="M1836" s="1" t="s">
        <v>1255</v>
      </c>
      <c r="AG1836" s="1" t="s">
        <v>3965</v>
      </c>
      <c r="AH1836" s="2">
        <v>45009</v>
      </c>
      <c r="AI1836" s="2">
        <v>45291</v>
      </c>
      <c r="AJ1836" s="2">
        <v>45009</v>
      </c>
    </row>
    <row r="1837" spans="1:36">
      <c r="A1837" s="1" t="str">
        <f>"Z543A85FF4"</f>
        <v>Z543A85FF4</v>
      </c>
      <c r="B1837" s="1" t="str">
        <f t="shared" si="42"/>
        <v>02406911202</v>
      </c>
      <c r="C1837" s="1" t="s">
        <v>13</v>
      </c>
      <c r="D1837" s="1" t="s">
        <v>1253</v>
      </c>
      <c r="E1837" s="1" t="s">
        <v>1260</v>
      </c>
      <c r="F1837" s="1" t="s">
        <v>49</v>
      </c>
      <c r="G1837" s="1" t="str">
        <f>"09100740969"</f>
        <v>09100740969</v>
      </c>
      <c r="I1837" s="1" t="s">
        <v>3966</v>
      </c>
      <c r="L1837" s="1" t="s">
        <v>44</v>
      </c>
      <c r="M1837" s="1" t="s">
        <v>1255</v>
      </c>
      <c r="AG1837" s="1" t="s">
        <v>3967</v>
      </c>
      <c r="AH1837" s="2">
        <v>45009</v>
      </c>
      <c r="AI1837" s="2">
        <v>45291</v>
      </c>
      <c r="AJ1837" s="2">
        <v>45009</v>
      </c>
    </row>
    <row r="1838" spans="1:36">
      <c r="A1838" s="1" t="str">
        <f>"ZEE3A86C0C"</f>
        <v>ZEE3A86C0C</v>
      </c>
      <c r="B1838" s="1" t="str">
        <f t="shared" si="42"/>
        <v>02406911202</v>
      </c>
      <c r="C1838" s="1" t="s">
        <v>13</v>
      </c>
      <c r="D1838" s="1" t="s">
        <v>1257</v>
      </c>
      <c r="E1838" s="1" t="s">
        <v>3968</v>
      </c>
      <c r="F1838" s="1" t="s">
        <v>49</v>
      </c>
      <c r="G1838" s="1" t="str">
        <f>"03957810280"</f>
        <v>03957810280</v>
      </c>
      <c r="I1838" s="1" t="s">
        <v>3594</v>
      </c>
      <c r="L1838" s="1" t="s">
        <v>44</v>
      </c>
      <c r="M1838" s="1" t="s">
        <v>3969</v>
      </c>
      <c r="AG1838" s="1" t="s">
        <v>124</v>
      </c>
      <c r="AH1838" s="2">
        <v>45009</v>
      </c>
      <c r="AI1838" s="2">
        <v>45055</v>
      </c>
      <c r="AJ1838" s="2">
        <v>45009</v>
      </c>
    </row>
    <row r="1839" spans="1:36">
      <c r="A1839" s="1" t="str">
        <f>"ZEE3A86C0C"</f>
        <v>ZEE3A86C0C</v>
      </c>
      <c r="B1839" s="1" t="str">
        <f t="shared" si="42"/>
        <v>02406911202</v>
      </c>
      <c r="C1839" s="1" t="s">
        <v>13</v>
      </c>
      <c r="D1839" s="1" t="s">
        <v>1257</v>
      </c>
      <c r="E1839" s="1" t="s">
        <v>3968</v>
      </c>
      <c r="F1839" s="1" t="s">
        <v>49</v>
      </c>
      <c r="G1839" s="1" t="str">
        <f>"02373581202"</f>
        <v>02373581202</v>
      </c>
      <c r="I1839" s="1" t="s">
        <v>1405</v>
      </c>
      <c r="L1839" s="1" t="s">
        <v>41</v>
      </c>
      <c r="AJ1839" s="2">
        <v>45009</v>
      </c>
    </row>
    <row r="1840" spans="1:36">
      <c r="A1840" s="1" t="str">
        <f>"ZEE3A86C0C"</f>
        <v>ZEE3A86C0C</v>
      </c>
      <c r="B1840" s="1" t="str">
        <f t="shared" si="42"/>
        <v>02406911202</v>
      </c>
      <c r="C1840" s="1" t="s">
        <v>13</v>
      </c>
      <c r="D1840" s="1" t="s">
        <v>1257</v>
      </c>
      <c r="E1840" s="1" t="s">
        <v>3968</v>
      </c>
      <c r="F1840" s="1" t="s">
        <v>49</v>
      </c>
      <c r="G1840" s="1" t="str">
        <f>"05025030288"</f>
        <v>05025030288</v>
      </c>
      <c r="I1840" s="1" t="s">
        <v>1450</v>
      </c>
      <c r="L1840" s="1" t="s">
        <v>41</v>
      </c>
      <c r="AJ1840" s="2">
        <v>45009</v>
      </c>
    </row>
    <row r="1841" spans="1:36">
      <c r="A1841" s="1" t="str">
        <f>"Z3739B3426"</f>
        <v>Z3739B3426</v>
      </c>
      <c r="B1841" s="1" t="str">
        <f t="shared" si="42"/>
        <v>02406911202</v>
      </c>
      <c r="C1841" s="1" t="s">
        <v>13</v>
      </c>
      <c r="D1841" s="1" t="s">
        <v>37</v>
      </c>
      <c r="E1841" s="1" t="s">
        <v>3970</v>
      </c>
      <c r="F1841" s="1" t="s">
        <v>117</v>
      </c>
      <c r="G1841" s="1" t="str">
        <f>"02615000367"</f>
        <v>02615000367</v>
      </c>
      <c r="I1841" s="1" t="s">
        <v>3971</v>
      </c>
      <c r="L1841" s="1" t="s">
        <v>44</v>
      </c>
      <c r="M1841" s="1" t="s">
        <v>3972</v>
      </c>
      <c r="AG1841" s="1" t="s">
        <v>124</v>
      </c>
      <c r="AH1841" s="2">
        <v>44958</v>
      </c>
      <c r="AI1841" s="2">
        <v>45138</v>
      </c>
      <c r="AJ1841" s="2">
        <v>44958</v>
      </c>
    </row>
    <row r="1842" spans="1:36">
      <c r="A1842" s="1" t="str">
        <f>"Z2C39B351B"</f>
        <v>Z2C39B351B</v>
      </c>
      <c r="B1842" s="1" t="str">
        <f t="shared" si="42"/>
        <v>02406911202</v>
      </c>
      <c r="C1842" s="1" t="s">
        <v>13</v>
      </c>
      <c r="D1842" s="1" t="s">
        <v>37</v>
      </c>
      <c r="E1842" s="1" t="s">
        <v>3973</v>
      </c>
      <c r="F1842" s="1" t="s">
        <v>117</v>
      </c>
      <c r="G1842" s="1" t="str">
        <f>"03208750368"</f>
        <v>03208750368</v>
      </c>
      <c r="I1842" s="1" t="s">
        <v>3974</v>
      </c>
      <c r="L1842" s="1" t="s">
        <v>44</v>
      </c>
      <c r="M1842" s="1" t="s">
        <v>3972</v>
      </c>
      <c r="AG1842" s="1" t="s">
        <v>124</v>
      </c>
      <c r="AH1842" s="2">
        <v>44958</v>
      </c>
      <c r="AI1842" s="2">
        <v>45138</v>
      </c>
      <c r="AJ1842" s="2">
        <v>44958</v>
      </c>
    </row>
    <row r="1843" spans="1:36">
      <c r="A1843" s="1" t="str">
        <f>"Z5A39C92C9"</f>
        <v>Z5A39C92C9</v>
      </c>
      <c r="B1843" s="1" t="str">
        <f t="shared" si="42"/>
        <v>02406911202</v>
      </c>
      <c r="C1843" s="1" t="s">
        <v>13</v>
      </c>
      <c r="D1843" s="1" t="s">
        <v>205</v>
      </c>
      <c r="E1843" s="1" t="s">
        <v>1677</v>
      </c>
      <c r="F1843" s="1" t="s">
        <v>39</v>
      </c>
      <c r="G1843" s="1" t="str">
        <f>"03424251209"</f>
        <v>03424251209</v>
      </c>
      <c r="I1843" s="1" t="s">
        <v>3814</v>
      </c>
      <c r="L1843" s="1" t="s">
        <v>44</v>
      </c>
      <c r="M1843" s="1" t="s">
        <v>3975</v>
      </c>
      <c r="AG1843" s="1" t="s">
        <v>3976</v>
      </c>
      <c r="AH1843" s="2">
        <v>44927</v>
      </c>
      <c r="AI1843" s="2">
        <v>45291</v>
      </c>
      <c r="AJ1843" s="2">
        <v>44927</v>
      </c>
    </row>
    <row r="1844" spans="1:36">
      <c r="A1844" s="1" t="str">
        <f>"ZD339DE162"</f>
        <v>ZD339DE162</v>
      </c>
      <c r="B1844" s="1" t="str">
        <f t="shared" si="42"/>
        <v>02406911202</v>
      </c>
      <c r="C1844" s="1" t="s">
        <v>13</v>
      </c>
      <c r="D1844" s="1" t="s">
        <v>1253</v>
      </c>
      <c r="E1844" s="1" t="s">
        <v>1387</v>
      </c>
      <c r="F1844" s="1" t="s">
        <v>49</v>
      </c>
      <c r="G1844" s="1" t="str">
        <f>"05849130157"</f>
        <v>05849130157</v>
      </c>
      <c r="I1844" s="1" t="s">
        <v>354</v>
      </c>
      <c r="L1844" s="1" t="s">
        <v>44</v>
      </c>
      <c r="M1844" s="1" t="s">
        <v>1255</v>
      </c>
      <c r="AG1844" s="1" t="s">
        <v>3977</v>
      </c>
      <c r="AH1844" s="2">
        <v>44965</v>
      </c>
      <c r="AI1844" s="2">
        <v>45291</v>
      </c>
      <c r="AJ1844" s="2">
        <v>44965</v>
      </c>
    </row>
    <row r="1845" spans="1:36">
      <c r="A1845" s="1" t="str">
        <f>"Z7A39CB6DD"</f>
        <v>Z7A39CB6DD</v>
      </c>
      <c r="B1845" s="1" t="str">
        <f t="shared" si="42"/>
        <v>02406911202</v>
      </c>
      <c r="C1845" s="1" t="s">
        <v>13</v>
      </c>
      <c r="D1845" s="1" t="s">
        <v>1253</v>
      </c>
      <c r="E1845" s="1" t="s">
        <v>1317</v>
      </c>
      <c r="F1845" s="1" t="s">
        <v>49</v>
      </c>
      <c r="G1845" s="1" t="str">
        <f>"09163950968"</f>
        <v>09163950968</v>
      </c>
      <c r="I1845" s="1" t="s">
        <v>3436</v>
      </c>
      <c r="L1845" s="1" t="s">
        <v>44</v>
      </c>
      <c r="M1845" s="1" t="s">
        <v>1255</v>
      </c>
      <c r="AG1845" s="1" t="s">
        <v>3978</v>
      </c>
      <c r="AH1845" s="2">
        <v>44965</v>
      </c>
      <c r="AI1845" s="2">
        <v>45291</v>
      </c>
      <c r="AJ1845" s="2">
        <v>44965</v>
      </c>
    </row>
    <row r="1846" spans="1:36">
      <c r="A1846" s="1" t="str">
        <f>"9584541571"</f>
        <v>9584541571</v>
      </c>
      <c r="B1846" s="1" t="str">
        <f t="shared" si="42"/>
        <v>02406911202</v>
      </c>
      <c r="C1846" s="1" t="s">
        <v>13</v>
      </c>
      <c r="D1846" s="1" t="s">
        <v>37</v>
      </c>
      <c r="E1846" s="1" t="s">
        <v>3979</v>
      </c>
      <c r="F1846" s="1" t="s">
        <v>117</v>
      </c>
      <c r="G1846" s="1" t="str">
        <f>"00225500164"</f>
        <v>00225500164</v>
      </c>
      <c r="I1846" s="1" t="s">
        <v>3980</v>
      </c>
      <c r="L1846" s="1" t="s">
        <v>44</v>
      </c>
      <c r="M1846" s="1" t="s">
        <v>3981</v>
      </c>
      <c r="AG1846" s="1" t="s">
        <v>124</v>
      </c>
      <c r="AH1846" s="2">
        <v>44966</v>
      </c>
      <c r="AI1846" s="2">
        <v>45291</v>
      </c>
      <c r="AJ1846" s="2">
        <v>44966</v>
      </c>
    </row>
    <row r="1847" spans="1:36">
      <c r="A1847" s="1" t="str">
        <f>"ZB139E1FCB"</f>
        <v>ZB139E1FCB</v>
      </c>
      <c r="B1847" s="1" t="str">
        <f t="shared" si="42"/>
        <v>02406911202</v>
      </c>
      <c r="C1847" s="1" t="s">
        <v>13</v>
      </c>
      <c r="D1847" s="1" t="s">
        <v>1312</v>
      </c>
      <c r="E1847" s="1" t="s">
        <v>3982</v>
      </c>
      <c r="F1847" s="1" t="s">
        <v>49</v>
      </c>
      <c r="G1847" s="1" t="str">
        <f>"00136740404"</f>
        <v>00136740404</v>
      </c>
      <c r="I1847" s="1" t="s">
        <v>439</v>
      </c>
      <c r="L1847" s="1" t="s">
        <v>44</v>
      </c>
      <c r="M1847" s="1" t="s">
        <v>1735</v>
      </c>
      <c r="AG1847" s="1" t="s">
        <v>3983</v>
      </c>
      <c r="AH1847" s="2">
        <v>44966</v>
      </c>
      <c r="AI1847" s="2">
        <v>45016</v>
      </c>
      <c r="AJ1847" s="2">
        <v>44966</v>
      </c>
    </row>
    <row r="1848" spans="1:36">
      <c r="A1848" s="1" t="str">
        <f>"Z5B39C4694"</f>
        <v>Z5B39C4694</v>
      </c>
      <c r="B1848" s="1" t="str">
        <f t="shared" si="42"/>
        <v>02406911202</v>
      </c>
      <c r="C1848" s="1" t="s">
        <v>13</v>
      </c>
      <c r="D1848" s="1" t="s">
        <v>1741</v>
      </c>
      <c r="E1848" s="1" t="s">
        <v>3984</v>
      </c>
      <c r="F1848" s="1" t="s">
        <v>39</v>
      </c>
      <c r="G1848" s="1" t="str">
        <f>"03551890373"</f>
        <v>03551890373</v>
      </c>
      <c r="I1848" s="1" t="s">
        <v>3985</v>
      </c>
      <c r="L1848" s="1" t="s">
        <v>44</v>
      </c>
      <c r="M1848" s="1" t="s">
        <v>1491</v>
      </c>
      <c r="AG1848" s="1" t="s">
        <v>1491</v>
      </c>
      <c r="AH1848" s="2">
        <v>44927</v>
      </c>
      <c r="AI1848" s="2">
        <v>45291</v>
      </c>
      <c r="AJ1848" s="2">
        <v>44927</v>
      </c>
    </row>
    <row r="1849" spans="1:36">
      <c r="A1849" s="1" t="str">
        <f>"Z633A75563"</f>
        <v>Z633A75563</v>
      </c>
      <c r="B1849" s="1" t="str">
        <f t="shared" si="42"/>
        <v>02406911202</v>
      </c>
      <c r="C1849" s="1" t="s">
        <v>13</v>
      </c>
      <c r="D1849" s="1" t="s">
        <v>1257</v>
      </c>
      <c r="E1849" s="1" t="s">
        <v>3986</v>
      </c>
      <c r="F1849" s="1" t="s">
        <v>49</v>
      </c>
      <c r="G1849" s="1" t="str">
        <f>"06790980962"</f>
        <v>06790980962</v>
      </c>
      <c r="I1849" s="1" t="s">
        <v>3987</v>
      </c>
      <c r="L1849" s="1" t="s">
        <v>44</v>
      </c>
      <c r="M1849" s="1" t="s">
        <v>153</v>
      </c>
      <c r="AG1849" s="1" t="s">
        <v>3988</v>
      </c>
      <c r="AH1849" s="2">
        <v>45006</v>
      </c>
      <c r="AI1849" s="2">
        <v>45291</v>
      </c>
      <c r="AJ1849" s="2">
        <v>45006</v>
      </c>
    </row>
    <row r="1850" spans="1:36">
      <c r="A1850" s="1" t="str">
        <f>"Z8D3A755EC"</f>
        <v>Z8D3A755EC</v>
      </c>
      <c r="B1850" s="1" t="str">
        <f t="shared" si="42"/>
        <v>02406911202</v>
      </c>
      <c r="C1850" s="1" t="s">
        <v>13</v>
      </c>
      <c r="D1850" s="1" t="s">
        <v>1257</v>
      </c>
      <c r="E1850" s="1" t="s">
        <v>3989</v>
      </c>
      <c r="F1850" s="1" t="s">
        <v>49</v>
      </c>
      <c r="G1850" s="1" t="str">
        <f>"05083750967"</f>
        <v>05083750967</v>
      </c>
      <c r="I1850" s="1" t="s">
        <v>3990</v>
      </c>
      <c r="L1850" s="1" t="s">
        <v>44</v>
      </c>
      <c r="M1850" s="1" t="s">
        <v>153</v>
      </c>
      <c r="AG1850" s="1" t="s">
        <v>3991</v>
      </c>
      <c r="AH1850" s="2">
        <v>45006</v>
      </c>
      <c r="AI1850" s="2">
        <v>45291</v>
      </c>
      <c r="AJ1850" s="2">
        <v>45006</v>
      </c>
    </row>
    <row r="1851" spans="1:36">
      <c r="A1851" s="1" t="str">
        <f>"Z5F3A7554A"</f>
        <v>Z5F3A7554A</v>
      </c>
      <c r="B1851" s="1" t="str">
        <f t="shared" si="42"/>
        <v>02406911202</v>
      </c>
      <c r="C1851" s="1" t="s">
        <v>13</v>
      </c>
      <c r="D1851" s="1" t="s">
        <v>1253</v>
      </c>
      <c r="E1851" s="1" t="s">
        <v>3992</v>
      </c>
      <c r="F1851" s="1" t="s">
        <v>49</v>
      </c>
      <c r="G1851" s="1" t="str">
        <f>"01809291204"</f>
        <v>01809291204</v>
      </c>
      <c r="I1851" s="1" t="s">
        <v>3993</v>
      </c>
      <c r="L1851" s="1" t="s">
        <v>44</v>
      </c>
      <c r="M1851" s="1" t="s">
        <v>153</v>
      </c>
      <c r="AG1851" s="1" t="s">
        <v>3994</v>
      </c>
      <c r="AH1851" s="2">
        <v>45006</v>
      </c>
      <c r="AI1851" s="2">
        <v>45291</v>
      </c>
      <c r="AJ1851" s="2">
        <v>45006</v>
      </c>
    </row>
    <row r="1852" spans="1:36">
      <c r="A1852" s="1" t="str">
        <f>"Z913A7775B"</f>
        <v>Z913A7775B</v>
      </c>
      <c r="B1852" s="1" t="str">
        <f t="shared" si="42"/>
        <v>02406911202</v>
      </c>
      <c r="C1852" s="1" t="s">
        <v>13</v>
      </c>
      <c r="D1852" s="1" t="s">
        <v>1253</v>
      </c>
      <c r="E1852" s="1" t="s">
        <v>1262</v>
      </c>
      <c r="F1852" s="1" t="s">
        <v>49</v>
      </c>
      <c r="G1852" s="1" t="str">
        <f>"00471770016"</f>
        <v>00471770016</v>
      </c>
      <c r="I1852" s="1" t="s">
        <v>2339</v>
      </c>
      <c r="L1852" s="1" t="s">
        <v>44</v>
      </c>
      <c r="M1852" s="1" t="s">
        <v>1255</v>
      </c>
      <c r="AG1852" s="1" t="s">
        <v>3995</v>
      </c>
      <c r="AH1852" s="2">
        <v>45006</v>
      </c>
      <c r="AI1852" s="2">
        <v>45291</v>
      </c>
      <c r="AJ1852" s="2">
        <v>45006</v>
      </c>
    </row>
    <row r="1853" spans="1:36">
      <c r="A1853" s="1" t="str">
        <f>"Z723A779C9"</f>
        <v>Z723A779C9</v>
      </c>
      <c r="B1853" s="1" t="str">
        <f t="shared" si="42"/>
        <v>02406911202</v>
      </c>
      <c r="C1853" s="1" t="s">
        <v>13</v>
      </c>
      <c r="D1853" s="1" t="s">
        <v>1257</v>
      </c>
      <c r="E1853" s="1" t="s">
        <v>3996</v>
      </c>
      <c r="F1853" s="1" t="s">
        <v>49</v>
      </c>
      <c r="G1853" s="1" t="str">
        <f>"05908410961"</f>
        <v>05908410961</v>
      </c>
      <c r="I1853" s="1" t="s">
        <v>3997</v>
      </c>
      <c r="L1853" s="1" t="s">
        <v>44</v>
      </c>
      <c r="M1853" s="1" t="s">
        <v>946</v>
      </c>
      <c r="AG1853" s="1" t="s">
        <v>3861</v>
      </c>
      <c r="AH1853" s="2">
        <v>45006</v>
      </c>
      <c r="AI1853" s="2">
        <v>45291</v>
      </c>
      <c r="AJ1853" s="2">
        <v>45006</v>
      </c>
    </row>
    <row r="1854" spans="1:36">
      <c r="A1854" s="1" t="str">
        <f>"ZFA3A78202"</f>
        <v>ZFA3A78202</v>
      </c>
      <c r="B1854" s="1" t="str">
        <f t="shared" si="42"/>
        <v>02406911202</v>
      </c>
      <c r="C1854" s="1" t="s">
        <v>13</v>
      </c>
      <c r="D1854" s="1" t="s">
        <v>1312</v>
      </c>
      <c r="E1854" s="1" t="s">
        <v>3998</v>
      </c>
      <c r="F1854" s="1" t="s">
        <v>49</v>
      </c>
      <c r="G1854" s="1" t="str">
        <f>"03190310262"</f>
        <v>03190310262</v>
      </c>
      <c r="I1854" s="1" t="s">
        <v>3999</v>
      </c>
      <c r="L1854" s="1" t="s">
        <v>44</v>
      </c>
      <c r="M1854" s="1" t="s">
        <v>1314</v>
      </c>
      <c r="AG1854" s="1" t="s">
        <v>124</v>
      </c>
      <c r="AH1854" s="2">
        <v>45006</v>
      </c>
      <c r="AI1854" s="2">
        <v>46022</v>
      </c>
      <c r="AJ1854" s="2">
        <v>45006</v>
      </c>
    </row>
    <row r="1855" spans="1:36">
      <c r="A1855" s="1" t="str">
        <f>"ZB739F03E6"</f>
        <v>ZB739F03E6</v>
      </c>
      <c r="B1855" s="1" t="str">
        <f t="shared" si="42"/>
        <v>02406911202</v>
      </c>
      <c r="C1855" s="1" t="s">
        <v>13</v>
      </c>
      <c r="D1855" s="1" t="s">
        <v>1741</v>
      </c>
      <c r="E1855" s="1" t="s">
        <v>4000</v>
      </c>
      <c r="F1855" s="1" t="s">
        <v>39</v>
      </c>
      <c r="G1855" s="1" t="str">
        <f>"01985091204"</f>
        <v>01985091204</v>
      </c>
      <c r="I1855" s="1" t="s">
        <v>4001</v>
      </c>
      <c r="L1855" s="1" t="s">
        <v>44</v>
      </c>
      <c r="M1855" s="1" t="s">
        <v>4002</v>
      </c>
      <c r="AG1855" s="1" t="s">
        <v>4002</v>
      </c>
      <c r="AH1855" s="2">
        <v>44970</v>
      </c>
      <c r="AI1855" s="2">
        <v>45291</v>
      </c>
      <c r="AJ1855" s="2">
        <v>44970</v>
      </c>
    </row>
    <row r="1856" spans="1:36">
      <c r="A1856" s="1" t="str">
        <f>"9571247AE1"</f>
        <v>9571247AE1</v>
      </c>
      <c r="B1856" s="1" t="str">
        <f t="shared" si="42"/>
        <v>02406911202</v>
      </c>
      <c r="C1856" s="1" t="s">
        <v>13</v>
      </c>
      <c r="D1856" s="1" t="s">
        <v>37</v>
      </c>
      <c r="E1856" s="1" t="s">
        <v>4003</v>
      </c>
      <c r="F1856" s="1" t="s">
        <v>117</v>
      </c>
      <c r="G1856" s="1" t="str">
        <f>"09158150962"</f>
        <v>09158150962</v>
      </c>
      <c r="I1856" s="1" t="s">
        <v>72</v>
      </c>
      <c r="L1856" s="1" t="s">
        <v>44</v>
      </c>
      <c r="M1856" s="1" t="s">
        <v>2687</v>
      </c>
      <c r="AG1856" s="1" t="s">
        <v>4004</v>
      </c>
      <c r="AH1856" s="2">
        <v>44960</v>
      </c>
      <c r="AI1856" s="2">
        <v>46058</v>
      </c>
      <c r="AJ1856" s="2">
        <v>44960</v>
      </c>
    </row>
    <row r="1857" spans="1:36">
      <c r="A1857" s="1" t="str">
        <f>"Z9C39C94E3"</f>
        <v>Z9C39C94E3</v>
      </c>
      <c r="B1857" s="1" t="str">
        <f t="shared" si="42"/>
        <v>02406911202</v>
      </c>
      <c r="C1857" s="1" t="s">
        <v>13</v>
      </c>
      <c r="D1857" s="1" t="s">
        <v>205</v>
      </c>
      <c r="E1857" s="1" t="s">
        <v>1677</v>
      </c>
      <c r="F1857" s="1" t="s">
        <v>39</v>
      </c>
      <c r="G1857" s="1" t="str">
        <f>"01593890385"</f>
        <v>01593890385</v>
      </c>
      <c r="I1857" s="1" t="s">
        <v>4005</v>
      </c>
      <c r="L1857" s="1" t="s">
        <v>44</v>
      </c>
      <c r="M1857" s="1" t="s">
        <v>865</v>
      </c>
      <c r="AG1857" s="1" t="s">
        <v>4006</v>
      </c>
      <c r="AH1857" s="2">
        <v>44927</v>
      </c>
      <c r="AI1857" s="2">
        <v>45291</v>
      </c>
      <c r="AJ1857" s="2">
        <v>44927</v>
      </c>
    </row>
    <row r="1858" spans="1:36">
      <c r="A1858" s="1" t="str">
        <f>"Z4239C9524"</f>
        <v>Z4239C9524</v>
      </c>
      <c r="B1858" s="1" t="str">
        <f t="shared" si="42"/>
        <v>02406911202</v>
      </c>
      <c r="C1858" s="1" t="s">
        <v>13</v>
      </c>
      <c r="D1858" s="1" t="s">
        <v>205</v>
      </c>
      <c r="E1858" s="1" t="s">
        <v>1677</v>
      </c>
      <c r="F1858" s="1" t="s">
        <v>39</v>
      </c>
      <c r="G1858" s="1" t="str">
        <f>"08646710965"</f>
        <v>08646710965</v>
      </c>
      <c r="I1858" s="1" t="s">
        <v>4007</v>
      </c>
      <c r="L1858" s="1" t="s">
        <v>44</v>
      </c>
      <c r="M1858" s="1" t="s">
        <v>4008</v>
      </c>
      <c r="AG1858" s="1" t="s">
        <v>4009</v>
      </c>
      <c r="AH1858" s="2">
        <v>44927</v>
      </c>
      <c r="AI1858" s="2">
        <v>45291</v>
      </c>
      <c r="AJ1858" s="2">
        <v>44927</v>
      </c>
    </row>
    <row r="1859" spans="1:36">
      <c r="A1859" s="1" t="str">
        <f>"Z7539E204A"</f>
        <v>Z7539E204A</v>
      </c>
      <c r="B1859" s="1" t="str">
        <f t="shared" si="42"/>
        <v>02406911202</v>
      </c>
      <c r="C1859" s="1" t="s">
        <v>13</v>
      </c>
      <c r="D1859" s="1" t="s">
        <v>1253</v>
      </c>
      <c r="E1859" s="1" t="s">
        <v>1254</v>
      </c>
      <c r="F1859" s="1" t="s">
        <v>49</v>
      </c>
      <c r="G1859" s="1" t="str">
        <f>"08082461008"</f>
        <v>08082461008</v>
      </c>
      <c r="I1859" s="1" t="s">
        <v>423</v>
      </c>
      <c r="L1859" s="1" t="s">
        <v>44</v>
      </c>
      <c r="M1859" s="1" t="s">
        <v>1255</v>
      </c>
      <c r="AG1859" s="1" t="s">
        <v>4010</v>
      </c>
      <c r="AH1859" s="2">
        <v>44966</v>
      </c>
      <c r="AI1859" s="2">
        <v>45291</v>
      </c>
      <c r="AJ1859" s="2">
        <v>44966</v>
      </c>
    </row>
    <row r="1860" spans="1:36">
      <c r="A1860" s="1" t="str">
        <f>"ZE239E213C"</f>
        <v>ZE239E213C</v>
      </c>
      <c r="B1860" s="1" t="str">
        <f t="shared" si="42"/>
        <v>02406911202</v>
      </c>
      <c r="C1860" s="1" t="s">
        <v>13</v>
      </c>
      <c r="D1860" s="1" t="s">
        <v>1253</v>
      </c>
      <c r="E1860" s="1" t="s">
        <v>1325</v>
      </c>
      <c r="F1860" s="1" t="s">
        <v>49</v>
      </c>
      <c r="G1860" s="1" t="str">
        <f>"03736410139"</f>
        <v>03736410139</v>
      </c>
      <c r="I1860" s="1" t="s">
        <v>4011</v>
      </c>
      <c r="L1860" s="1" t="s">
        <v>44</v>
      </c>
      <c r="M1860" s="1" t="s">
        <v>1255</v>
      </c>
      <c r="AG1860" s="1" t="s">
        <v>4012</v>
      </c>
      <c r="AH1860" s="2">
        <v>44966</v>
      </c>
      <c r="AI1860" s="2">
        <v>45291</v>
      </c>
      <c r="AJ1860" s="2">
        <v>44966</v>
      </c>
    </row>
    <row r="1861" spans="1:36">
      <c r="A1861" s="1" t="str">
        <f>"9701619D41"</f>
        <v>9701619D41</v>
      </c>
      <c r="B1861" s="1" t="str">
        <f t="shared" si="42"/>
        <v>02406911202</v>
      </c>
      <c r="C1861" s="1" t="s">
        <v>13</v>
      </c>
      <c r="D1861" s="1" t="s">
        <v>37</v>
      </c>
      <c r="E1861" s="1" t="s">
        <v>4013</v>
      </c>
      <c r="F1861" s="1" t="s">
        <v>39</v>
      </c>
      <c r="G1861" s="1" t="str">
        <f>"07777350633"</f>
        <v>07777350633</v>
      </c>
      <c r="I1861" s="1" t="s">
        <v>4014</v>
      </c>
      <c r="L1861" s="1" t="s">
        <v>44</v>
      </c>
      <c r="M1861" s="1" t="s">
        <v>4015</v>
      </c>
      <c r="AG1861" s="1" t="s">
        <v>4016</v>
      </c>
      <c r="AH1861" s="2">
        <v>45017</v>
      </c>
      <c r="AI1861" s="2">
        <v>45199</v>
      </c>
      <c r="AJ1861" s="2">
        <v>45017</v>
      </c>
    </row>
    <row r="1862" spans="1:36">
      <c r="A1862" s="1" t="str">
        <f t="shared" ref="A1862:A1870" si="43">"Z2539D7C8F"</f>
        <v>Z2539D7C8F</v>
      </c>
      <c r="B1862" s="1" t="str">
        <f t="shared" ref="B1862:B1925" si="44">"02406911202"</f>
        <v>02406911202</v>
      </c>
      <c r="C1862" s="1" t="s">
        <v>13</v>
      </c>
      <c r="D1862" s="1" t="s">
        <v>1741</v>
      </c>
      <c r="E1862" s="1" t="s">
        <v>4017</v>
      </c>
      <c r="F1862" s="1" t="s">
        <v>39</v>
      </c>
      <c r="G1862" s="1" t="str">
        <f>"01813500541"</f>
        <v>01813500541</v>
      </c>
      <c r="I1862" s="1" t="s">
        <v>2137</v>
      </c>
      <c r="L1862" s="1" t="s">
        <v>44</v>
      </c>
      <c r="M1862" s="1" t="s">
        <v>4018</v>
      </c>
      <c r="AG1862" s="1" t="s">
        <v>4018</v>
      </c>
      <c r="AH1862" s="2">
        <v>44964</v>
      </c>
      <c r="AI1862" s="2">
        <v>45291</v>
      </c>
      <c r="AJ1862" s="2">
        <v>44964</v>
      </c>
    </row>
    <row r="1863" spans="1:36">
      <c r="A1863" s="1" t="str">
        <f t="shared" si="43"/>
        <v>Z2539D7C8F</v>
      </c>
      <c r="B1863" s="1" t="str">
        <f t="shared" si="44"/>
        <v>02406911202</v>
      </c>
      <c r="C1863" s="1" t="s">
        <v>13</v>
      </c>
      <c r="D1863" s="1" t="s">
        <v>1741</v>
      </c>
      <c r="E1863" s="1" t="s">
        <v>4017</v>
      </c>
      <c r="F1863" s="1" t="s">
        <v>39</v>
      </c>
      <c r="G1863" s="1" t="str">
        <f>"00740430335"</f>
        <v>00740430335</v>
      </c>
      <c r="I1863" s="1" t="s">
        <v>1888</v>
      </c>
      <c r="L1863" s="1" t="s">
        <v>41</v>
      </c>
      <c r="AJ1863" s="2">
        <v>44964</v>
      </c>
    </row>
    <row r="1864" spans="1:36">
      <c r="A1864" s="1" t="str">
        <f t="shared" si="43"/>
        <v>Z2539D7C8F</v>
      </c>
      <c r="B1864" s="1" t="str">
        <f t="shared" si="44"/>
        <v>02406911202</v>
      </c>
      <c r="C1864" s="1" t="s">
        <v>13</v>
      </c>
      <c r="D1864" s="1" t="s">
        <v>1741</v>
      </c>
      <c r="E1864" s="1" t="s">
        <v>4017</v>
      </c>
      <c r="F1864" s="1" t="s">
        <v>39</v>
      </c>
      <c r="G1864" s="1" t="str">
        <f>"02169281207"</f>
        <v>02169281207</v>
      </c>
      <c r="I1864" s="1" t="s">
        <v>1524</v>
      </c>
      <c r="L1864" s="1" t="s">
        <v>41</v>
      </c>
      <c r="AJ1864" s="2">
        <v>44964</v>
      </c>
    </row>
    <row r="1865" spans="1:36">
      <c r="A1865" s="1" t="str">
        <f t="shared" si="43"/>
        <v>Z2539D7C8F</v>
      </c>
      <c r="B1865" s="1" t="str">
        <f t="shared" si="44"/>
        <v>02406911202</v>
      </c>
      <c r="C1865" s="1" t="s">
        <v>13</v>
      </c>
      <c r="D1865" s="1" t="s">
        <v>1741</v>
      </c>
      <c r="E1865" s="1" t="s">
        <v>4017</v>
      </c>
      <c r="F1865" s="1" t="s">
        <v>39</v>
      </c>
      <c r="G1865" s="1" t="str">
        <f>"03359340837"</f>
        <v>03359340837</v>
      </c>
      <c r="I1865" s="1" t="s">
        <v>1881</v>
      </c>
      <c r="L1865" s="1" t="s">
        <v>41</v>
      </c>
      <c r="AJ1865" s="2">
        <v>44964</v>
      </c>
    </row>
    <row r="1866" spans="1:36">
      <c r="A1866" s="1" t="str">
        <f t="shared" si="43"/>
        <v>Z2539D7C8F</v>
      </c>
      <c r="B1866" s="1" t="str">
        <f t="shared" si="44"/>
        <v>02406911202</v>
      </c>
      <c r="C1866" s="1" t="s">
        <v>13</v>
      </c>
      <c r="D1866" s="1" t="s">
        <v>1741</v>
      </c>
      <c r="E1866" s="1" t="s">
        <v>4017</v>
      </c>
      <c r="F1866" s="1" t="s">
        <v>39</v>
      </c>
      <c r="G1866" s="1" t="str">
        <f>"04427081007"</f>
        <v>04427081007</v>
      </c>
      <c r="I1866" s="1" t="s">
        <v>2135</v>
      </c>
      <c r="L1866" s="1" t="s">
        <v>41</v>
      </c>
      <c r="AJ1866" s="2">
        <v>44964</v>
      </c>
    </row>
    <row r="1867" spans="1:36">
      <c r="A1867" s="1" t="str">
        <f t="shared" si="43"/>
        <v>Z2539D7C8F</v>
      </c>
      <c r="B1867" s="1" t="str">
        <f t="shared" si="44"/>
        <v>02406911202</v>
      </c>
      <c r="C1867" s="1" t="s">
        <v>13</v>
      </c>
      <c r="D1867" s="1" t="s">
        <v>1741</v>
      </c>
      <c r="E1867" s="1" t="s">
        <v>4017</v>
      </c>
      <c r="F1867" s="1" t="s">
        <v>39</v>
      </c>
      <c r="G1867" s="1" t="str">
        <f>"02138390360"</f>
        <v>02138390360</v>
      </c>
      <c r="I1867" s="1" t="s">
        <v>1879</v>
      </c>
      <c r="L1867" s="1" t="s">
        <v>41</v>
      </c>
      <c r="AJ1867" s="2">
        <v>44964</v>
      </c>
    </row>
    <row r="1868" spans="1:36">
      <c r="A1868" s="1" t="str">
        <f t="shared" si="43"/>
        <v>Z2539D7C8F</v>
      </c>
      <c r="B1868" s="1" t="str">
        <f t="shared" si="44"/>
        <v>02406911202</v>
      </c>
      <c r="C1868" s="1" t="s">
        <v>13</v>
      </c>
      <c r="D1868" s="1" t="s">
        <v>1741</v>
      </c>
      <c r="E1868" s="1" t="s">
        <v>4017</v>
      </c>
      <c r="F1868" s="1" t="s">
        <v>39</v>
      </c>
      <c r="G1868" s="1" t="str">
        <f>"03593680378"</f>
        <v>03593680378</v>
      </c>
      <c r="I1868" s="1" t="s">
        <v>432</v>
      </c>
      <c r="L1868" s="1" t="s">
        <v>41</v>
      </c>
      <c r="AJ1868" s="2">
        <v>44964</v>
      </c>
    </row>
    <row r="1869" spans="1:36">
      <c r="A1869" s="1" t="str">
        <f t="shared" si="43"/>
        <v>Z2539D7C8F</v>
      </c>
      <c r="B1869" s="1" t="str">
        <f t="shared" si="44"/>
        <v>02406911202</v>
      </c>
      <c r="C1869" s="1" t="s">
        <v>13</v>
      </c>
      <c r="D1869" s="1" t="s">
        <v>1741</v>
      </c>
      <c r="E1869" s="1" t="s">
        <v>4017</v>
      </c>
      <c r="F1869" s="1" t="s">
        <v>39</v>
      </c>
      <c r="G1869" s="1" t="str">
        <f>"02703241204"</f>
        <v>02703241204</v>
      </c>
      <c r="I1869" s="1" t="s">
        <v>1890</v>
      </c>
      <c r="L1869" s="1" t="s">
        <v>41</v>
      </c>
      <c r="AJ1869" s="2">
        <v>44964</v>
      </c>
    </row>
    <row r="1870" spans="1:36">
      <c r="A1870" s="1" t="str">
        <f t="shared" si="43"/>
        <v>Z2539D7C8F</v>
      </c>
      <c r="B1870" s="1" t="str">
        <f t="shared" si="44"/>
        <v>02406911202</v>
      </c>
      <c r="C1870" s="1" t="s">
        <v>13</v>
      </c>
      <c r="D1870" s="1" t="s">
        <v>1741</v>
      </c>
      <c r="E1870" s="1" t="s">
        <v>4017</v>
      </c>
      <c r="F1870" s="1" t="s">
        <v>39</v>
      </c>
      <c r="G1870" s="1" t="str">
        <f>"00305120974"</f>
        <v>00305120974</v>
      </c>
      <c r="I1870" s="1" t="s">
        <v>2139</v>
      </c>
      <c r="L1870" s="1" t="s">
        <v>41</v>
      </c>
      <c r="AJ1870" s="2">
        <v>44964</v>
      </c>
    </row>
    <row r="1871" spans="1:36">
      <c r="A1871" s="1" t="str">
        <f>"ZAF3A830E8"</f>
        <v>ZAF3A830E8</v>
      </c>
      <c r="B1871" s="1" t="str">
        <f t="shared" si="44"/>
        <v>02406911202</v>
      </c>
      <c r="C1871" s="1" t="s">
        <v>13</v>
      </c>
      <c r="D1871" s="1" t="s">
        <v>1253</v>
      </c>
      <c r="E1871" s="1" t="s">
        <v>1254</v>
      </c>
      <c r="F1871" s="1" t="s">
        <v>49</v>
      </c>
      <c r="G1871" s="1" t="str">
        <f>"01893311009"</f>
        <v>01893311009</v>
      </c>
      <c r="I1871" s="1" t="s">
        <v>4019</v>
      </c>
      <c r="L1871" s="1" t="s">
        <v>44</v>
      </c>
      <c r="M1871" s="1" t="s">
        <v>1255</v>
      </c>
      <c r="AG1871" s="1" t="s">
        <v>4020</v>
      </c>
      <c r="AH1871" s="2">
        <v>45009</v>
      </c>
      <c r="AI1871" s="2">
        <v>45291</v>
      </c>
      <c r="AJ1871" s="2">
        <v>45009</v>
      </c>
    </row>
    <row r="1872" spans="1:36">
      <c r="A1872" s="1" t="str">
        <f>"Z633A83103"</f>
        <v>Z633A83103</v>
      </c>
      <c r="B1872" s="1" t="str">
        <f t="shared" si="44"/>
        <v>02406911202</v>
      </c>
      <c r="C1872" s="1" t="s">
        <v>13</v>
      </c>
      <c r="D1872" s="1" t="s">
        <v>1253</v>
      </c>
      <c r="E1872" s="1" t="s">
        <v>1254</v>
      </c>
      <c r="F1872" s="1" t="s">
        <v>49</v>
      </c>
      <c r="G1872" s="1" t="str">
        <f>"12971700153"</f>
        <v>12971700153</v>
      </c>
      <c r="I1872" s="1" t="s">
        <v>3690</v>
      </c>
      <c r="L1872" s="1" t="s">
        <v>44</v>
      </c>
      <c r="M1872" s="1" t="s">
        <v>1255</v>
      </c>
      <c r="AG1872" s="1" t="s">
        <v>4021</v>
      </c>
      <c r="AH1872" s="2">
        <v>45009</v>
      </c>
      <c r="AI1872" s="2">
        <v>45291</v>
      </c>
      <c r="AJ1872" s="2">
        <v>45009</v>
      </c>
    </row>
    <row r="1873" spans="1:36">
      <c r="A1873" s="1" t="str">
        <f>"ZC23A83120"</f>
        <v>ZC23A83120</v>
      </c>
      <c r="B1873" s="1" t="str">
        <f t="shared" si="44"/>
        <v>02406911202</v>
      </c>
      <c r="C1873" s="1" t="s">
        <v>13</v>
      </c>
      <c r="D1873" s="1" t="s">
        <v>1253</v>
      </c>
      <c r="E1873" s="1" t="s">
        <v>1254</v>
      </c>
      <c r="F1873" s="1" t="s">
        <v>49</v>
      </c>
      <c r="G1873" s="1" t="str">
        <f>"04384410017"</f>
        <v>04384410017</v>
      </c>
      <c r="I1873" s="1" t="s">
        <v>4022</v>
      </c>
      <c r="L1873" s="1" t="s">
        <v>44</v>
      </c>
      <c r="M1873" s="1" t="s">
        <v>1255</v>
      </c>
      <c r="AG1873" s="1" t="s">
        <v>4023</v>
      </c>
      <c r="AH1873" s="2">
        <v>45009</v>
      </c>
      <c r="AI1873" s="2">
        <v>45291</v>
      </c>
      <c r="AJ1873" s="2">
        <v>45009</v>
      </c>
    </row>
    <row r="1874" spans="1:36">
      <c r="A1874" s="1" t="str">
        <f>"Z3C3A876E6"</f>
        <v>Z3C3A876E6</v>
      </c>
      <c r="B1874" s="1" t="str">
        <f t="shared" si="44"/>
        <v>02406911202</v>
      </c>
      <c r="C1874" s="1" t="s">
        <v>13</v>
      </c>
      <c r="D1874" s="1" t="s">
        <v>1253</v>
      </c>
      <c r="E1874" s="1" t="s">
        <v>3034</v>
      </c>
      <c r="F1874" s="1" t="s">
        <v>49</v>
      </c>
      <c r="G1874" s="1" t="str">
        <f>"00693931206"</f>
        <v>00693931206</v>
      </c>
      <c r="I1874" s="1" t="s">
        <v>4024</v>
      </c>
      <c r="L1874" s="1" t="s">
        <v>44</v>
      </c>
      <c r="M1874" s="1" t="s">
        <v>1255</v>
      </c>
      <c r="AG1874" s="1" t="s">
        <v>4025</v>
      </c>
      <c r="AH1874" s="2">
        <v>45009</v>
      </c>
      <c r="AI1874" s="2">
        <v>45291</v>
      </c>
      <c r="AJ1874" s="2">
        <v>45009</v>
      </c>
    </row>
    <row r="1875" spans="1:36">
      <c r="A1875" s="1" t="str">
        <f>"9606962BD4"</f>
        <v>9606962BD4</v>
      </c>
      <c r="B1875" s="1" t="str">
        <f t="shared" si="44"/>
        <v>02406911202</v>
      </c>
      <c r="C1875" s="1" t="s">
        <v>13</v>
      </c>
      <c r="D1875" s="1" t="s">
        <v>37</v>
      </c>
      <c r="E1875" s="1" t="s">
        <v>4026</v>
      </c>
      <c r="F1875" s="1" t="s">
        <v>49</v>
      </c>
      <c r="G1875" s="1" t="str">
        <f>"11159150157"</f>
        <v>11159150157</v>
      </c>
      <c r="I1875" s="1" t="s">
        <v>43</v>
      </c>
      <c r="L1875" s="1" t="s">
        <v>44</v>
      </c>
      <c r="M1875" s="1" t="s">
        <v>4027</v>
      </c>
      <c r="AG1875" s="1" t="s">
        <v>4027</v>
      </c>
      <c r="AH1875" s="2">
        <v>44992</v>
      </c>
      <c r="AI1875" s="2">
        <v>45291</v>
      </c>
      <c r="AJ1875" s="2">
        <v>44992</v>
      </c>
    </row>
    <row r="1876" spans="1:36">
      <c r="A1876" s="1" t="str">
        <f>"9618343BBA"</f>
        <v>9618343BBA</v>
      </c>
      <c r="B1876" s="1" t="str">
        <f t="shared" si="44"/>
        <v>02406911202</v>
      </c>
      <c r="C1876" s="1" t="s">
        <v>13</v>
      </c>
      <c r="D1876" s="1" t="s">
        <v>1312</v>
      </c>
      <c r="E1876" s="1" t="s">
        <v>4028</v>
      </c>
      <c r="F1876" s="1" t="s">
        <v>49</v>
      </c>
      <c r="G1876" s="1" t="str">
        <f>"05678330829"</f>
        <v>05678330829</v>
      </c>
      <c r="I1876" s="1" t="s">
        <v>3079</v>
      </c>
      <c r="L1876" s="1" t="s">
        <v>44</v>
      </c>
      <c r="M1876" s="1" t="s">
        <v>4029</v>
      </c>
      <c r="AG1876" s="1" t="s">
        <v>4030</v>
      </c>
      <c r="AH1876" s="2">
        <v>44960</v>
      </c>
      <c r="AI1876" s="2">
        <v>45351</v>
      </c>
      <c r="AJ1876" s="2">
        <v>44960</v>
      </c>
    </row>
    <row r="1877" spans="1:36">
      <c r="A1877" s="1" t="str">
        <f>"Z7239E321C"</f>
        <v>Z7239E321C</v>
      </c>
      <c r="B1877" s="1" t="str">
        <f t="shared" si="44"/>
        <v>02406911202</v>
      </c>
      <c r="C1877" s="1" t="s">
        <v>13</v>
      </c>
      <c r="D1877" s="1" t="s">
        <v>1253</v>
      </c>
      <c r="E1877" s="1" t="s">
        <v>1262</v>
      </c>
      <c r="F1877" s="1" t="s">
        <v>49</v>
      </c>
      <c r="G1877" s="1" t="str">
        <f>"01099110999"</f>
        <v>01099110999</v>
      </c>
      <c r="I1877" s="1" t="s">
        <v>2498</v>
      </c>
      <c r="L1877" s="1" t="s">
        <v>44</v>
      </c>
      <c r="M1877" s="1" t="s">
        <v>1255</v>
      </c>
      <c r="AG1877" s="1" t="s">
        <v>4031</v>
      </c>
      <c r="AH1877" s="2">
        <v>44966</v>
      </c>
      <c r="AI1877" s="2">
        <v>45291</v>
      </c>
      <c r="AJ1877" s="2">
        <v>44966</v>
      </c>
    </row>
    <row r="1878" spans="1:36">
      <c r="A1878" s="1" t="str">
        <f>"96358868AC"</f>
        <v>96358868AC</v>
      </c>
      <c r="B1878" s="1" t="str">
        <f t="shared" si="44"/>
        <v>02406911202</v>
      </c>
      <c r="C1878" s="1" t="s">
        <v>13</v>
      </c>
      <c r="D1878" s="1" t="s">
        <v>1253</v>
      </c>
      <c r="E1878" s="1" t="s">
        <v>4032</v>
      </c>
      <c r="F1878" s="1" t="s">
        <v>49</v>
      </c>
      <c r="G1878" s="1" t="str">
        <f>"06814140965"</f>
        <v>06814140965</v>
      </c>
      <c r="I1878" s="1" t="s">
        <v>550</v>
      </c>
      <c r="L1878" s="1" t="s">
        <v>44</v>
      </c>
      <c r="M1878" s="1" t="s">
        <v>2739</v>
      </c>
      <c r="AG1878" s="1" t="s">
        <v>4033</v>
      </c>
      <c r="AH1878" s="2">
        <v>44966</v>
      </c>
      <c r="AI1878" s="2">
        <v>45291</v>
      </c>
      <c r="AJ1878" s="2">
        <v>44966</v>
      </c>
    </row>
    <row r="1879" spans="1:36">
      <c r="A1879" s="1" t="str">
        <f>"Z1D39E4170"</f>
        <v>Z1D39E4170</v>
      </c>
      <c r="B1879" s="1" t="str">
        <f t="shared" si="44"/>
        <v>02406911202</v>
      </c>
      <c r="C1879" s="1" t="s">
        <v>13</v>
      </c>
      <c r="D1879" s="1" t="s">
        <v>1257</v>
      </c>
      <c r="E1879" s="1" t="s">
        <v>4034</v>
      </c>
      <c r="F1879" s="1" t="s">
        <v>49</v>
      </c>
      <c r="G1879" s="1" t="str">
        <f>"01059590107"</f>
        <v>01059590107</v>
      </c>
      <c r="I1879" s="1" t="s">
        <v>4035</v>
      </c>
      <c r="L1879" s="1" t="s">
        <v>44</v>
      </c>
      <c r="M1879" s="1" t="s">
        <v>917</v>
      </c>
      <c r="AG1879" s="1" t="s">
        <v>124</v>
      </c>
      <c r="AH1879" s="2">
        <v>44966</v>
      </c>
      <c r="AI1879" s="2">
        <v>46820</v>
      </c>
      <c r="AJ1879" s="2">
        <v>44966</v>
      </c>
    </row>
    <row r="1880" spans="1:36">
      <c r="A1880" s="1" t="str">
        <f>"Z5839E69DA"</f>
        <v>Z5839E69DA</v>
      </c>
      <c r="B1880" s="1" t="str">
        <f t="shared" si="44"/>
        <v>02406911202</v>
      </c>
      <c r="C1880" s="1" t="s">
        <v>13</v>
      </c>
      <c r="D1880" s="1" t="s">
        <v>1253</v>
      </c>
      <c r="E1880" s="1" t="s">
        <v>1325</v>
      </c>
      <c r="F1880" s="1" t="s">
        <v>49</v>
      </c>
      <c r="G1880" s="1" t="str">
        <f>"03338350402"</f>
        <v>03338350402</v>
      </c>
      <c r="I1880" s="1" t="s">
        <v>4036</v>
      </c>
      <c r="L1880" s="1" t="s">
        <v>44</v>
      </c>
      <c r="M1880" s="1" t="s">
        <v>153</v>
      </c>
      <c r="AG1880" s="1" t="s">
        <v>4037</v>
      </c>
      <c r="AH1880" s="2">
        <v>44967</v>
      </c>
      <c r="AI1880" s="2">
        <v>44967</v>
      </c>
      <c r="AJ1880" s="2">
        <v>44967</v>
      </c>
    </row>
    <row r="1881" spans="1:36">
      <c r="A1881" s="1" t="str">
        <f>"96643211FC"</f>
        <v>96643211FC</v>
      </c>
      <c r="B1881" s="1" t="str">
        <f t="shared" si="44"/>
        <v>02406911202</v>
      </c>
      <c r="C1881" s="1" t="s">
        <v>13</v>
      </c>
      <c r="D1881" s="1" t="s">
        <v>1312</v>
      </c>
      <c r="E1881" s="1" t="s">
        <v>4038</v>
      </c>
      <c r="F1881" s="1" t="s">
        <v>49</v>
      </c>
      <c r="G1881" s="1" t="str">
        <f>"00136740404"</f>
        <v>00136740404</v>
      </c>
      <c r="I1881" s="1" t="s">
        <v>439</v>
      </c>
      <c r="L1881" s="1" t="s">
        <v>44</v>
      </c>
      <c r="M1881" s="1" t="s">
        <v>4039</v>
      </c>
      <c r="AG1881" s="1" t="s">
        <v>4040</v>
      </c>
      <c r="AH1881" s="2">
        <v>44987</v>
      </c>
      <c r="AI1881" s="2">
        <v>45077</v>
      </c>
      <c r="AJ1881" s="2">
        <v>44987</v>
      </c>
    </row>
    <row r="1882" spans="1:36">
      <c r="A1882" s="1" t="str">
        <f>"Z1E3A2B7F4"</f>
        <v>Z1E3A2B7F4</v>
      </c>
      <c r="B1882" s="1" t="str">
        <f t="shared" si="44"/>
        <v>02406911202</v>
      </c>
      <c r="C1882" s="1" t="s">
        <v>13</v>
      </c>
      <c r="D1882" s="1" t="s">
        <v>37</v>
      </c>
      <c r="E1882" s="1" t="s">
        <v>2422</v>
      </c>
      <c r="F1882" s="1" t="s">
        <v>117</v>
      </c>
      <c r="G1882" s="1" t="str">
        <f>"10618220965"</f>
        <v>10618220965</v>
      </c>
      <c r="I1882" s="1" t="s">
        <v>2176</v>
      </c>
      <c r="L1882" s="1" t="s">
        <v>44</v>
      </c>
      <c r="M1882" s="1" t="s">
        <v>4041</v>
      </c>
      <c r="AG1882" s="1" t="s">
        <v>4042</v>
      </c>
      <c r="AH1882" s="2">
        <v>44987</v>
      </c>
      <c r="AI1882" s="2">
        <v>45626</v>
      </c>
      <c r="AJ1882" s="2">
        <v>44987</v>
      </c>
    </row>
    <row r="1883" spans="1:36">
      <c r="A1883" s="1" t="str">
        <f>"Z393A29417"</f>
        <v>Z393A29417</v>
      </c>
      <c r="B1883" s="1" t="str">
        <f t="shared" si="44"/>
        <v>02406911202</v>
      </c>
      <c r="C1883" s="1" t="s">
        <v>13</v>
      </c>
      <c r="D1883" s="1" t="s">
        <v>1253</v>
      </c>
      <c r="E1883" s="1" t="s">
        <v>1317</v>
      </c>
      <c r="F1883" s="1" t="s">
        <v>49</v>
      </c>
      <c r="G1883" s="1" t="str">
        <f>"01736720994"</f>
        <v>01736720994</v>
      </c>
      <c r="I1883" s="1" t="s">
        <v>80</v>
      </c>
      <c r="L1883" s="1" t="s">
        <v>44</v>
      </c>
      <c r="M1883" s="1" t="s">
        <v>1255</v>
      </c>
      <c r="AG1883" s="1" t="s">
        <v>4043</v>
      </c>
      <c r="AH1883" s="2">
        <v>44987</v>
      </c>
      <c r="AI1883" s="2">
        <v>45291</v>
      </c>
      <c r="AJ1883" s="2">
        <v>44987</v>
      </c>
    </row>
    <row r="1884" spans="1:36">
      <c r="A1884" s="1" t="str">
        <f>"Z783A3209C"</f>
        <v>Z783A3209C</v>
      </c>
      <c r="B1884" s="1" t="str">
        <f t="shared" si="44"/>
        <v>02406911202</v>
      </c>
      <c r="C1884" s="1" t="s">
        <v>13</v>
      </c>
      <c r="D1884" s="1" t="s">
        <v>1312</v>
      </c>
      <c r="E1884" s="1" t="s">
        <v>4044</v>
      </c>
      <c r="F1884" s="1" t="s">
        <v>49</v>
      </c>
      <c r="G1884" s="1" t="str">
        <f>"02503150373"</f>
        <v>02503150373</v>
      </c>
      <c r="I1884" s="1" t="s">
        <v>2197</v>
      </c>
      <c r="L1884" s="1" t="s">
        <v>44</v>
      </c>
      <c r="M1884" s="1" t="s">
        <v>1314</v>
      </c>
      <c r="AG1884" s="1" t="s">
        <v>4045</v>
      </c>
      <c r="AH1884" s="2">
        <v>44987</v>
      </c>
      <c r="AI1884" s="2">
        <v>45382</v>
      </c>
      <c r="AJ1884" s="2">
        <v>44987</v>
      </c>
    </row>
    <row r="1885" spans="1:36">
      <c r="A1885" s="1" t="str">
        <f>"Z653A533CE"</f>
        <v>Z653A533CE</v>
      </c>
      <c r="B1885" s="1" t="str">
        <f t="shared" si="44"/>
        <v>02406911202</v>
      </c>
      <c r="C1885" s="1" t="s">
        <v>13</v>
      </c>
      <c r="D1885" s="1" t="s">
        <v>1253</v>
      </c>
      <c r="E1885" s="1" t="s">
        <v>1317</v>
      </c>
      <c r="F1885" s="1" t="s">
        <v>49</v>
      </c>
      <c r="G1885" s="1" t="str">
        <f>"03757530716"</f>
        <v>03757530716</v>
      </c>
      <c r="I1885" s="1" t="s">
        <v>4046</v>
      </c>
      <c r="L1885" s="1" t="s">
        <v>44</v>
      </c>
      <c r="M1885" s="1" t="s">
        <v>1255</v>
      </c>
      <c r="AG1885" s="1" t="s">
        <v>124</v>
      </c>
      <c r="AH1885" s="2">
        <v>45006</v>
      </c>
      <c r="AI1885" s="2">
        <v>45291</v>
      </c>
      <c r="AJ1885" s="2">
        <v>45006</v>
      </c>
    </row>
    <row r="1886" spans="1:36">
      <c r="A1886" s="1" t="str">
        <f>"Z0D3A7B6CE"</f>
        <v>Z0D3A7B6CE</v>
      </c>
      <c r="B1886" s="1" t="str">
        <f t="shared" si="44"/>
        <v>02406911202</v>
      </c>
      <c r="C1886" s="1" t="s">
        <v>13</v>
      </c>
      <c r="D1886" s="1" t="s">
        <v>1312</v>
      </c>
      <c r="E1886" s="1" t="s">
        <v>3220</v>
      </c>
      <c r="F1886" s="1" t="s">
        <v>49</v>
      </c>
      <c r="G1886" s="1" t="str">
        <f>"08082461008"</f>
        <v>08082461008</v>
      </c>
      <c r="I1886" s="1" t="s">
        <v>423</v>
      </c>
      <c r="L1886" s="1" t="s">
        <v>44</v>
      </c>
      <c r="M1886" s="1" t="s">
        <v>1314</v>
      </c>
      <c r="AG1886" s="1" t="s">
        <v>4047</v>
      </c>
      <c r="AH1886" s="2">
        <v>45007</v>
      </c>
      <c r="AI1886" s="2">
        <v>45657</v>
      </c>
      <c r="AJ1886" s="2">
        <v>45007</v>
      </c>
    </row>
    <row r="1887" spans="1:36">
      <c r="A1887" s="1" t="str">
        <f>"Z173A7B980"</f>
        <v>Z173A7B980</v>
      </c>
      <c r="B1887" s="1" t="str">
        <f t="shared" si="44"/>
        <v>02406911202</v>
      </c>
      <c r="C1887" s="1" t="s">
        <v>13</v>
      </c>
      <c r="D1887" s="1" t="s">
        <v>205</v>
      </c>
      <c r="E1887" s="1" t="s">
        <v>4048</v>
      </c>
      <c r="F1887" s="1" t="s">
        <v>49</v>
      </c>
      <c r="G1887" s="1" t="str">
        <f>"01596500387"</f>
        <v>01596500387</v>
      </c>
      <c r="I1887" s="1" t="s">
        <v>3716</v>
      </c>
      <c r="L1887" s="1" t="s">
        <v>44</v>
      </c>
      <c r="M1887" s="1" t="s">
        <v>4049</v>
      </c>
      <c r="AG1887" s="1" t="s">
        <v>4049</v>
      </c>
      <c r="AH1887" s="2">
        <v>45007</v>
      </c>
      <c r="AI1887" s="2">
        <v>45291</v>
      </c>
      <c r="AJ1887" s="2">
        <v>45007</v>
      </c>
    </row>
    <row r="1888" spans="1:36">
      <c r="A1888" s="1" t="str">
        <f>"ZA93A7C275"</f>
        <v>ZA93A7C275</v>
      </c>
      <c r="B1888" s="1" t="str">
        <f t="shared" si="44"/>
        <v>02406911202</v>
      </c>
      <c r="C1888" s="1" t="s">
        <v>13</v>
      </c>
      <c r="D1888" s="1" t="s">
        <v>1312</v>
      </c>
      <c r="E1888" s="1" t="s">
        <v>4050</v>
      </c>
      <c r="F1888" s="1" t="s">
        <v>49</v>
      </c>
      <c r="G1888" s="1" t="str">
        <f>"00157770363"</f>
        <v>00157770363</v>
      </c>
      <c r="I1888" s="1" t="s">
        <v>4051</v>
      </c>
      <c r="L1888" s="1" t="s">
        <v>44</v>
      </c>
      <c r="M1888" s="1" t="s">
        <v>1314</v>
      </c>
      <c r="AG1888" s="1" t="s">
        <v>4052</v>
      </c>
      <c r="AH1888" s="2">
        <v>45007</v>
      </c>
      <c r="AI1888" s="2">
        <v>46022</v>
      </c>
      <c r="AJ1888" s="2">
        <v>45007</v>
      </c>
    </row>
    <row r="1889" spans="1:36">
      <c r="A1889" s="1" t="str">
        <f>"ZB93A7C2D9"</f>
        <v>ZB93A7C2D9</v>
      </c>
      <c r="B1889" s="1" t="str">
        <f t="shared" si="44"/>
        <v>02406911202</v>
      </c>
      <c r="C1889" s="1" t="s">
        <v>13</v>
      </c>
      <c r="D1889" s="1" t="s">
        <v>205</v>
      </c>
      <c r="E1889" s="1" t="s">
        <v>4053</v>
      </c>
      <c r="F1889" s="1" t="s">
        <v>49</v>
      </c>
      <c r="G1889" s="1" t="str">
        <f>"04247720982"</f>
        <v>04247720982</v>
      </c>
      <c r="I1889" s="1" t="s">
        <v>4054</v>
      </c>
      <c r="L1889" s="1" t="s">
        <v>44</v>
      </c>
      <c r="M1889" s="1" t="s">
        <v>4055</v>
      </c>
      <c r="AG1889" s="1" t="s">
        <v>4055</v>
      </c>
      <c r="AH1889" s="2">
        <v>45007</v>
      </c>
      <c r="AI1889" s="2">
        <v>45291</v>
      </c>
      <c r="AJ1889" s="2">
        <v>45007</v>
      </c>
    </row>
    <row r="1890" spans="1:36">
      <c r="A1890" s="1" t="str">
        <f>"Z133A7C52B"</f>
        <v>Z133A7C52B</v>
      </c>
      <c r="B1890" s="1" t="str">
        <f t="shared" si="44"/>
        <v>02406911202</v>
      </c>
      <c r="C1890" s="1" t="s">
        <v>13</v>
      </c>
      <c r="D1890" s="1" t="s">
        <v>1312</v>
      </c>
      <c r="E1890" s="1" t="s">
        <v>4056</v>
      </c>
      <c r="F1890" s="1" t="s">
        <v>49</v>
      </c>
      <c r="G1890" s="1" t="str">
        <f>"03597020373"</f>
        <v>03597020373</v>
      </c>
      <c r="I1890" s="1" t="s">
        <v>920</v>
      </c>
      <c r="L1890" s="1" t="s">
        <v>44</v>
      </c>
      <c r="M1890" s="1" t="s">
        <v>1314</v>
      </c>
      <c r="AG1890" s="1" t="s">
        <v>4057</v>
      </c>
      <c r="AH1890" s="2">
        <v>45007</v>
      </c>
      <c r="AI1890" s="2">
        <v>46022</v>
      </c>
      <c r="AJ1890" s="2">
        <v>45007</v>
      </c>
    </row>
    <row r="1891" spans="1:36">
      <c r="A1891" s="1" t="str">
        <f>"ZBE3A7CA14"</f>
        <v>ZBE3A7CA14</v>
      </c>
      <c r="B1891" s="1" t="str">
        <f t="shared" si="44"/>
        <v>02406911202</v>
      </c>
      <c r="C1891" s="1" t="s">
        <v>13</v>
      </c>
      <c r="D1891" s="1" t="s">
        <v>1741</v>
      </c>
      <c r="E1891" s="1" t="s">
        <v>4058</v>
      </c>
      <c r="F1891" s="1" t="s">
        <v>49</v>
      </c>
      <c r="G1891" s="1" t="str">
        <f>"03349070361"</f>
        <v>03349070361</v>
      </c>
      <c r="I1891" s="1" t="s">
        <v>1885</v>
      </c>
      <c r="L1891" s="1" t="s">
        <v>44</v>
      </c>
      <c r="M1891" s="1" t="s">
        <v>4059</v>
      </c>
      <c r="AG1891" s="1" t="s">
        <v>4059</v>
      </c>
      <c r="AH1891" s="2">
        <v>45007</v>
      </c>
      <c r="AI1891" s="2">
        <v>45291</v>
      </c>
      <c r="AJ1891" s="2">
        <v>45007</v>
      </c>
    </row>
    <row r="1892" spans="1:36">
      <c r="A1892" s="1" t="str">
        <f>"ZD43A6EF7B"</f>
        <v>ZD43A6EF7B</v>
      </c>
      <c r="B1892" s="1" t="str">
        <f t="shared" si="44"/>
        <v>02406911202</v>
      </c>
      <c r="C1892" s="1" t="s">
        <v>13</v>
      </c>
      <c r="D1892" s="1" t="s">
        <v>1253</v>
      </c>
      <c r="E1892" s="1" t="s">
        <v>1317</v>
      </c>
      <c r="F1892" s="1" t="s">
        <v>49</v>
      </c>
      <c r="G1892" s="1" t="str">
        <f>"11570870961"</f>
        <v>11570870961</v>
      </c>
      <c r="I1892" s="1" t="s">
        <v>1597</v>
      </c>
      <c r="L1892" s="1" t="s">
        <v>44</v>
      </c>
      <c r="M1892" s="1" t="s">
        <v>1255</v>
      </c>
      <c r="AG1892" s="1" t="s">
        <v>4060</v>
      </c>
      <c r="AH1892" s="2">
        <v>45007</v>
      </c>
      <c r="AI1892" s="2">
        <v>45291</v>
      </c>
      <c r="AJ1892" s="2">
        <v>45007</v>
      </c>
    </row>
    <row r="1893" spans="1:36">
      <c r="A1893" s="1" t="str">
        <f>"Z6439B1523"</f>
        <v>Z6439B1523</v>
      </c>
      <c r="B1893" s="1" t="str">
        <f t="shared" si="44"/>
        <v>02406911202</v>
      </c>
      <c r="C1893" s="1" t="s">
        <v>13</v>
      </c>
      <c r="D1893" s="1" t="s">
        <v>1253</v>
      </c>
      <c r="E1893" s="1" t="s">
        <v>4061</v>
      </c>
      <c r="F1893" s="1" t="s">
        <v>49</v>
      </c>
      <c r="G1893" s="1" t="str">
        <f>"03066421201"</f>
        <v>03066421201</v>
      </c>
      <c r="I1893" s="1" t="s">
        <v>4062</v>
      </c>
      <c r="L1893" s="1" t="s">
        <v>44</v>
      </c>
      <c r="M1893" s="1" t="s">
        <v>1255</v>
      </c>
      <c r="AG1893" s="1" t="s">
        <v>4063</v>
      </c>
      <c r="AH1893" s="2">
        <v>44953</v>
      </c>
      <c r="AI1893" s="2">
        <v>45291</v>
      </c>
      <c r="AJ1893" s="2">
        <v>44953</v>
      </c>
    </row>
    <row r="1894" spans="1:36">
      <c r="A1894" s="1" t="str">
        <f>"9638320148"</f>
        <v>9638320148</v>
      </c>
      <c r="B1894" s="1" t="str">
        <f t="shared" si="44"/>
        <v>02406911202</v>
      </c>
      <c r="C1894" s="1" t="s">
        <v>13</v>
      </c>
      <c r="D1894" s="1" t="s">
        <v>1312</v>
      </c>
      <c r="E1894" s="1" t="s">
        <v>4064</v>
      </c>
      <c r="F1894" s="1" t="s">
        <v>49</v>
      </c>
      <c r="G1894" s="1" t="str">
        <f>"03906850262"</f>
        <v>03906850262</v>
      </c>
      <c r="I1894" s="1" t="s">
        <v>4065</v>
      </c>
      <c r="L1894" s="1" t="s">
        <v>44</v>
      </c>
      <c r="M1894" s="1" t="s">
        <v>4066</v>
      </c>
      <c r="AG1894" s="1" t="s">
        <v>4066</v>
      </c>
      <c r="AH1894" s="2">
        <v>44966</v>
      </c>
      <c r="AI1894" s="2">
        <v>45077</v>
      </c>
      <c r="AJ1894" s="2">
        <v>44966</v>
      </c>
    </row>
    <row r="1895" spans="1:36">
      <c r="A1895" s="1" t="str">
        <f>"Z5039DA97C"</f>
        <v>Z5039DA97C</v>
      </c>
      <c r="B1895" s="1" t="str">
        <f t="shared" si="44"/>
        <v>02406911202</v>
      </c>
      <c r="C1895" s="1" t="s">
        <v>13</v>
      </c>
      <c r="D1895" s="1" t="s">
        <v>1253</v>
      </c>
      <c r="E1895" s="1" t="s">
        <v>1317</v>
      </c>
      <c r="F1895" s="1" t="s">
        <v>49</v>
      </c>
      <c r="G1895" s="1" t="str">
        <f>"02426070120"</f>
        <v>02426070120</v>
      </c>
      <c r="I1895" s="1" t="s">
        <v>2218</v>
      </c>
      <c r="L1895" s="1" t="s">
        <v>44</v>
      </c>
      <c r="M1895" s="1" t="s">
        <v>1255</v>
      </c>
      <c r="AG1895" s="1" t="s">
        <v>4067</v>
      </c>
      <c r="AH1895" s="2">
        <v>44967</v>
      </c>
      <c r="AI1895" s="2">
        <v>45291</v>
      </c>
      <c r="AJ1895" s="2">
        <v>44967</v>
      </c>
    </row>
    <row r="1896" spans="1:36">
      <c r="A1896" s="1" t="str">
        <f>"Z3E39E68BA"</f>
        <v>Z3E39E68BA</v>
      </c>
      <c r="B1896" s="1" t="str">
        <f t="shared" si="44"/>
        <v>02406911202</v>
      </c>
      <c r="C1896" s="1" t="s">
        <v>13</v>
      </c>
      <c r="D1896" s="1" t="s">
        <v>1253</v>
      </c>
      <c r="E1896" s="1" t="s">
        <v>1317</v>
      </c>
      <c r="F1896" s="1" t="s">
        <v>49</v>
      </c>
      <c r="G1896" s="1" t="str">
        <f>"01630000287"</f>
        <v>01630000287</v>
      </c>
      <c r="I1896" s="1" t="s">
        <v>1470</v>
      </c>
      <c r="L1896" s="1" t="s">
        <v>44</v>
      </c>
      <c r="M1896" s="1" t="s">
        <v>1255</v>
      </c>
      <c r="AG1896" s="1" t="s">
        <v>4068</v>
      </c>
      <c r="AH1896" s="2">
        <v>44967</v>
      </c>
      <c r="AI1896" s="2">
        <v>45291</v>
      </c>
      <c r="AJ1896" s="2">
        <v>44967</v>
      </c>
    </row>
    <row r="1897" spans="1:36">
      <c r="A1897" s="1" t="str">
        <f>"Z9D39E68D7"</f>
        <v>Z9D39E68D7</v>
      </c>
      <c r="B1897" s="1" t="str">
        <f t="shared" si="44"/>
        <v>02406911202</v>
      </c>
      <c r="C1897" s="1" t="s">
        <v>13</v>
      </c>
      <c r="D1897" s="1" t="s">
        <v>1253</v>
      </c>
      <c r="E1897" s="1" t="s">
        <v>1317</v>
      </c>
      <c r="F1897" s="1" t="s">
        <v>49</v>
      </c>
      <c r="G1897" s="1" t="str">
        <f>"02804530968"</f>
        <v>02804530968</v>
      </c>
      <c r="I1897" s="1" t="s">
        <v>1599</v>
      </c>
      <c r="L1897" s="1" t="s">
        <v>44</v>
      </c>
      <c r="M1897" s="1" t="s">
        <v>1255</v>
      </c>
      <c r="AG1897" s="1" t="s">
        <v>4069</v>
      </c>
      <c r="AH1897" s="2">
        <v>44967</v>
      </c>
      <c r="AI1897" s="2">
        <v>45291</v>
      </c>
      <c r="AJ1897" s="2">
        <v>44967</v>
      </c>
    </row>
    <row r="1898" spans="1:36">
      <c r="A1898" s="1" t="str">
        <f>"Z1939E96A4"</f>
        <v>Z1939E96A4</v>
      </c>
      <c r="B1898" s="1" t="str">
        <f t="shared" si="44"/>
        <v>02406911202</v>
      </c>
      <c r="C1898" s="1" t="s">
        <v>13</v>
      </c>
      <c r="D1898" s="1" t="s">
        <v>1253</v>
      </c>
      <c r="E1898" s="1" t="s">
        <v>1254</v>
      </c>
      <c r="F1898" s="1" t="s">
        <v>49</v>
      </c>
      <c r="G1898" s="1" t="str">
        <f>"02173550282"</f>
        <v>02173550282</v>
      </c>
      <c r="I1898" s="1" t="s">
        <v>634</v>
      </c>
      <c r="L1898" s="1" t="s">
        <v>44</v>
      </c>
      <c r="M1898" s="1" t="s">
        <v>1255</v>
      </c>
      <c r="AG1898" s="1" t="s">
        <v>4070</v>
      </c>
      <c r="AH1898" s="2">
        <v>44967</v>
      </c>
      <c r="AI1898" s="2">
        <v>45291</v>
      </c>
      <c r="AJ1898" s="2">
        <v>44967</v>
      </c>
    </row>
    <row r="1899" spans="1:36">
      <c r="A1899" s="1" t="str">
        <f>"ZE439E0652"</f>
        <v>ZE439E0652</v>
      </c>
      <c r="B1899" s="1" t="str">
        <f t="shared" si="44"/>
        <v>02406911202</v>
      </c>
      <c r="C1899" s="1" t="s">
        <v>13</v>
      </c>
      <c r="D1899" s="1" t="s">
        <v>37</v>
      </c>
      <c r="E1899" s="1" t="s">
        <v>1627</v>
      </c>
      <c r="F1899" s="1" t="s">
        <v>117</v>
      </c>
      <c r="G1899" s="1" t="str">
        <f>"01364640233"</f>
        <v>01364640233</v>
      </c>
      <c r="I1899" s="1" t="s">
        <v>2668</v>
      </c>
      <c r="L1899" s="1" t="s">
        <v>44</v>
      </c>
      <c r="M1899" s="1" t="s">
        <v>930</v>
      </c>
      <c r="AG1899" s="1" t="s">
        <v>124</v>
      </c>
      <c r="AH1899" s="2">
        <v>44941</v>
      </c>
      <c r="AI1899" s="2">
        <v>45291</v>
      </c>
      <c r="AJ1899" s="2">
        <v>44941</v>
      </c>
    </row>
    <row r="1900" spans="1:36">
      <c r="A1900" s="1" t="str">
        <f>"ZDF39EF33A"</f>
        <v>ZDF39EF33A</v>
      </c>
      <c r="B1900" s="1" t="str">
        <f t="shared" si="44"/>
        <v>02406911202</v>
      </c>
      <c r="C1900" s="1" t="s">
        <v>13</v>
      </c>
      <c r="D1900" s="1" t="s">
        <v>1312</v>
      </c>
      <c r="E1900" s="1" t="s">
        <v>1974</v>
      </c>
      <c r="F1900" s="1" t="s">
        <v>49</v>
      </c>
      <c r="G1900" s="1" t="str">
        <f>"01793811207"</f>
        <v>01793811207</v>
      </c>
      <c r="I1900" s="1" t="s">
        <v>2683</v>
      </c>
      <c r="L1900" s="1" t="s">
        <v>44</v>
      </c>
      <c r="M1900" s="1" t="s">
        <v>2684</v>
      </c>
      <c r="AG1900" s="1" t="s">
        <v>2684</v>
      </c>
      <c r="AH1900" s="2">
        <v>44927</v>
      </c>
      <c r="AI1900" s="2">
        <v>44985</v>
      </c>
      <c r="AJ1900" s="2">
        <v>44927</v>
      </c>
    </row>
    <row r="1901" spans="1:36">
      <c r="A1901" s="1" t="str">
        <f>"Z7839F6C7F"</f>
        <v>Z7839F6C7F</v>
      </c>
      <c r="B1901" s="1" t="str">
        <f t="shared" si="44"/>
        <v>02406911202</v>
      </c>
      <c r="C1901" s="1" t="s">
        <v>13</v>
      </c>
      <c r="D1901" s="1" t="s">
        <v>1253</v>
      </c>
      <c r="E1901" s="1" t="s">
        <v>1260</v>
      </c>
      <c r="F1901" s="1" t="s">
        <v>49</v>
      </c>
      <c r="G1901" s="1" t="str">
        <f>"06032681006"</f>
        <v>06032681006</v>
      </c>
      <c r="I1901" s="1" t="s">
        <v>1351</v>
      </c>
      <c r="L1901" s="1" t="s">
        <v>44</v>
      </c>
      <c r="M1901" s="1" t="s">
        <v>1255</v>
      </c>
      <c r="AG1901" s="1" t="s">
        <v>4071</v>
      </c>
      <c r="AH1901" s="2">
        <v>44972</v>
      </c>
      <c r="AI1901" s="2">
        <v>45291</v>
      </c>
      <c r="AJ1901" s="2">
        <v>44972</v>
      </c>
    </row>
    <row r="1902" spans="1:36">
      <c r="A1902" s="1" t="str">
        <f>"ZC53A43E17"</f>
        <v>ZC53A43E17</v>
      </c>
      <c r="B1902" s="1" t="str">
        <f t="shared" si="44"/>
        <v>02406911202</v>
      </c>
      <c r="C1902" s="1" t="s">
        <v>13</v>
      </c>
      <c r="D1902" s="1" t="s">
        <v>1253</v>
      </c>
      <c r="E1902" s="1" t="s">
        <v>1254</v>
      </c>
      <c r="F1902" s="1" t="s">
        <v>49</v>
      </c>
      <c r="G1902" s="1" t="str">
        <f>"00474010345"</f>
        <v>00474010345</v>
      </c>
      <c r="I1902" s="1" t="s">
        <v>814</v>
      </c>
      <c r="L1902" s="1" t="s">
        <v>44</v>
      </c>
      <c r="M1902" s="1" t="s">
        <v>1255</v>
      </c>
      <c r="AG1902" s="1" t="s">
        <v>4072</v>
      </c>
      <c r="AH1902" s="2">
        <v>44992</v>
      </c>
      <c r="AI1902" s="2">
        <v>45291</v>
      </c>
      <c r="AJ1902" s="2">
        <v>44992</v>
      </c>
    </row>
    <row r="1903" spans="1:36">
      <c r="A1903" s="1" t="str">
        <f>"ZA43A43E05"</f>
        <v>ZA43A43E05</v>
      </c>
      <c r="B1903" s="1" t="str">
        <f t="shared" si="44"/>
        <v>02406911202</v>
      </c>
      <c r="C1903" s="1" t="s">
        <v>13</v>
      </c>
      <c r="D1903" s="1" t="s">
        <v>1253</v>
      </c>
      <c r="E1903" s="1" t="s">
        <v>1260</v>
      </c>
      <c r="F1903" s="1" t="s">
        <v>49</v>
      </c>
      <c r="G1903" s="1" t="str">
        <f>"01975020130"</f>
        <v>01975020130</v>
      </c>
      <c r="I1903" s="1" t="s">
        <v>1737</v>
      </c>
      <c r="L1903" s="1" t="s">
        <v>44</v>
      </c>
      <c r="M1903" s="1" t="s">
        <v>1255</v>
      </c>
      <c r="AG1903" s="1" t="s">
        <v>4073</v>
      </c>
      <c r="AH1903" s="2">
        <v>44992</v>
      </c>
      <c r="AI1903" s="2">
        <v>45291</v>
      </c>
      <c r="AJ1903" s="2">
        <v>44992</v>
      </c>
    </row>
    <row r="1904" spans="1:36">
      <c r="A1904" s="1" t="str">
        <f>"9686616067"</f>
        <v>9686616067</v>
      </c>
      <c r="B1904" s="1" t="str">
        <f t="shared" si="44"/>
        <v>02406911202</v>
      </c>
      <c r="C1904" s="1" t="s">
        <v>13</v>
      </c>
      <c r="D1904" s="1" t="s">
        <v>37</v>
      </c>
      <c r="E1904" s="1" t="s">
        <v>2527</v>
      </c>
      <c r="F1904" s="1" t="s">
        <v>117</v>
      </c>
      <c r="G1904" s="1" t="str">
        <f>"02944970348"</f>
        <v>02944970348</v>
      </c>
      <c r="I1904" s="1" t="s">
        <v>766</v>
      </c>
      <c r="L1904" s="1" t="s">
        <v>44</v>
      </c>
      <c r="M1904" s="1" t="s">
        <v>768</v>
      </c>
      <c r="AG1904" s="1" t="s">
        <v>4074</v>
      </c>
      <c r="AH1904" s="2">
        <v>44987</v>
      </c>
      <c r="AI1904" s="2">
        <v>45352</v>
      </c>
      <c r="AJ1904" s="2">
        <v>44987</v>
      </c>
    </row>
    <row r="1905" spans="1:36">
      <c r="A1905" s="1" t="str">
        <f>"Z4A3A847B0"</f>
        <v>Z4A3A847B0</v>
      </c>
      <c r="B1905" s="1" t="str">
        <f t="shared" si="44"/>
        <v>02406911202</v>
      </c>
      <c r="C1905" s="1" t="s">
        <v>13</v>
      </c>
      <c r="D1905" s="1" t="s">
        <v>1312</v>
      </c>
      <c r="E1905" s="1" t="s">
        <v>4075</v>
      </c>
      <c r="F1905" s="1" t="s">
        <v>49</v>
      </c>
      <c r="G1905" s="1" t="str">
        <f>"09284460962"</f>
        <v>09284460962</v>
      </c>
      <c r="I1905" s="1" t="s">
        <v>3350</v>
      </c>
      <c r="L1905" s="1" t="s">
        <v>44</v>
      </c>
      <c r="M1905" s="1" t="s">
        <v>1314</v>
      </c>
      <c r="AG1905" s="1" t="s">
        <v>4076</v>
      </c>
      <c r="AH1905" s="2">
        <v>45009</v>
      </c>
      <c r="AI1905" s="2">
        <v>45657</v>
      </c>
      <c r="AJ1905" s="2">
        <v>45009</v>
      </c>
    </row>
    <row r="1906" spans="1:36">
      <c r="A1906" s="1" t="str">
        <f>"Z633A8779B"</f>
        <v>Z633A8779B</v>
      </c>
      <c r="B1906" s="1" t="str">
        <f t="shared" si="44"/>
        <v>02406911202</v>
      </c>
      <c r="C1906" s="1" t="s">
        <v>13</v>
      </c>
      <c r="D1906" s="1" t="s">
        <v>1253</v>
      </c>
      <c r="E1906" s="1" t="s">
        <v>3034</v>
      </c>
      <c r="F1906" s="1" t="s">
        <v>49</v>
      </c>
      <c r="G1906" s="1" t="str">
        <f>"05896100962"</f>
        <v>05896100962</v>
      </c>
      <c r="I1906" s="1" t="s">
        <v>1413</v>
      </c>
      <c r="L1906" s="1" t="s">
        <v>44</v>
      </c>
      <c r="M1906" s="1" t="s">
        <v>1255</v>
      </c>
      <c r="AG1906" s="1" t="s">
        <v>1475</v>
      </c>
      <c r="AH1906" s="2">
        <v>45009</v>
      </c>
      <c r="AI1906" s="2">
        <v>45291</v>
      </c>
      <c r="AJ1906" s="2">
        <v>45009</v>
      </c>
    </row>
    <row r="1907" spans="1:36">
      <c r="A1907" s="1" t="str">
        <f>"9708971055"</f>
        <v>9708971055</v>
      </c>
      <c r="B1907" s="1" t="str">
        <f t="shared" si="44"/>
        <v>02406911202</v>
      </c>
      <c r="C1907" s="1" t="s">
        <v>13</v>
      </c>
      <c r="D1907" s="1" t="s">
        <v>1312</v>
      </c>
      <c r="E1907" s="1" t="s">
        <v>4077</v>
      </c>
      <c r="F1907" s="1" t="s">
        <v>49</v>
      </c>
      <c r="G1907" s="1" t="str">
        <f>"03578710729"</f>
        <v>03578710729</v>
      </c>
      <c r="I1907" s="1" t="s">
        <v>4078</v>
      </c>
      <c r="L1907" s="1" t="s">
        <v>44</v>
      </c>
      <c r="M1907" s="1" t="s">
        <v>4079</v>
      </c>
      <c r="AG1907" s="1" t="s">
        <v>4080</v>
      </c>
      <c r="AH1907" s="2">
        <v>45009</v>
      </c>
      <c r="AI1907" s="2">
        <v>45565</v>
      </c>
      <c r="AJ1907" s="2">
        <v>45009</v>
      </c>
    </row>
    <row r="1908" spans="1:36">
      <c r="A1908" s="1" t="str">
        <f>"Z7A3A47173"</f>
        <v>Z7A3A47173</v>
      </c>
      <c r="B1908" s="1" t="str">
        <f t="shared" si="44"/>
        <v>02406911202</v>
      </c>
      <c r="C1908" s="1" t="s">
        <v>13</v>
      </c>
      <c r="D1908" s="1" t="s">
        <v>1741</v>
      </c>
      <c r="E1908" s="1" t="s">
        <v>4081</v>
      </c>
      <c r="F1908" s="1" t="s">
        <v>39</v>
      </c>
      <c r="G1908" s="1" t="str">
        <f>"01501640666"</f>
        <v>01501640666</v>
      </c>
      <c r="I1908" s="1" t="s">
        <v>4082</v>
      </c>
      <c r="L1908" s="1" t="s">
        <v>44</v>
      </c>
      <c r="M1908" s="1" t="s">
        <v>4083</v>
      </c>
      <c r="AG1908" s="1" t="s">
        <v>4083</v>
      </c>
      <c r="AH1908" s="2">
        <v>44993</v>
      </c>
      <c r="AI1908" s="2">
        <v>45291</v>
      </c>
      <c r="AJ1908" s="2">
        <v>44993</v>
      </c>
    </row>
    <row r="1909" spans="1:36">
      <c r="A1909" s="1" t="str">
        <f>"Z6139C4832"</f>
        <v>Z6139C4832</v>
      </c>
      <c r="B1909" s="1" t="str">
        <f t="shared" si="44"/>
        <v>02406911202</v>
      </c>
      <c r="C1909" s="1" t="s">
        <v>13</v>
      </c>
      <c r="D1909" s="1" t="s">
        <v>1741</v>
      </c>
      <c r="E1909" s="1" t="s">
        <v>4084</v>
      </c>
      <c r="F1909" s="1" t="s">
        <v>39</v>
      </c>
      <c r="G1909" s="1" t="str">
        <f>"00674840152"</f>
        <v>00674840152</v>
      </c>
      <c r="I1909" s="1" t="s">
        <v>190</v>
      </c>
      <c r="L1909" s="1" t="s">
        <v>44</v>
      </c>
      <c r="M1909" s="1" t="s">
        <v>509</v>
      </c>
      <c r="AG1909" s="1" t="s">
        <v>917</v>
      </c>
      <c r="AH1909" s="2">
        <v>44958</v>
      </c>
      <c r="AI1909" s="2">
        <v>45291</v>
      </c>
      <c r="AJ1909" s="2">
        <v>44958</v>
      </c>
    </row>
    <row r="1910" spans="1:36">
      <c r="A1910" s="1" t="str">
        <f>"ZC43A8801A"</f>
        <v>ZC43A8801A</v>
      </c>
      <c r="B1910" s="1" t="str">
        <f t="shared" si="44"/>
        <v>02406911202</v>
      </c>
      <c r="C1910" s="1" t="s">
        <v>13</v>
      </c>
      <c r="D1910" s="1" t="s">
        <v>1312</v>
      </c>
      <c r="E1910" s="1" t="s">
        <v>2503</v>
      </c>
      <c r="F1910" s="1" t="s">
        <v>49</v>
      </c>
      <c r="G1910" s="1" t="str">
        <f>"00926020066"</f>
        <v>00926020066</v>
      </c>
      <c r="I1910" s="1" t="s">
        <v>2504</v>
      </c>
      <c r="L1910" s="1" t="s">
        <v>44</v>
      </c>
      <c r="M1910" s="1" t="s">
        <v>1314</v>
      </c>
      <c r="AG1910" s="1" t="s">
        <v>4085</v>
      </c>
      <c r="AH1910" s="2">
        <v>45009</v>
      </c>
      <c r="AI1910" s="2">
        <v>46022</v>
      </c>
      <c r="AJ1910" s="2">
        <v>45009</v>
      </c>
    </row>
    <row r="1911" spans="1:36">
      <c r="A1911" s="1" t="str">
        <f>"9630154E78"</f>
        <v>9630154E78</v>
      </c>
      <c r="B1911" s="1" t="str">
        <f t="shared" si="44"/>
        <v>02406911202</v>
      </c>
      <c r="C1911" s="1" t="s">
        <v>13</v>
      </c>
      <c r="D1911" s="1" t="s">
        <v>37</v>
      </c>
      <c r="E1911" s="1" t="s">
        <v>4086</v>
      </c>
      <c r="F1911" s="1" t="s">
        <v>99</v>
      </c>
      <c r="G1911" s="1" t="str">
        <f>"02044501001"</f>
        <v>02044501001</v>
      </c>
      <c r="I1911" s="1" t="s">
        <v>885</v>
      </c>
      <c r="L1911" s="1" t="s">
        <v>44</v>
      </c>
      <c r="M1911" s="1" t="s">
        <v>4087</v>
      </c>
      <c r="AG1911" s="1" t="s">
        <v>4088</v>
      </c>
      <c r="AH1911" s="2">
        <v>44958</v>
      </c>
      <c r="AI1911" s="2">
        <v>45016</v>
      </c>
      <c r="AJ1911" s="2">
        <v>44958</v>
      </c>
    </row>
    <row r="1912" spans="1:36">
      <c r="A1912" s="1" t="str">
        <f>"Z2939C2A65"</f>
        <v>Z2939C2A65</v>
      </c>
      <c r="B1912" s="1" t="str">
        <f t="shared" si="44"/>
        <v>02406911202</v>
      </c>
      <c r="C1912" s="1" t="s">
        <v>13</v>
      </c>
      <c r="D1912" s="1" t="s">
        <v>205</v>
      </c>
      <c r="E1912" s="1" t="s">
        <v>1753</v>
      </c>
      <c r="F1912" s="1" t="s">
        <v>39</v>
      </c>
      <c r="G1912" s="1" t="str">
        <f>"00791900376"</f>
        <v>00791900376</v>
      </c>
      <c r="I1912" s="1" t="s">
        <v>4089</v>
      </c>
      <c r="L1912" s="1" t="s">
        <v>44</v>
      </c>
      <c r="M1912" s="1" t="s">
        <v>4090</v>
      </c>
      <c r="AG1912" s="1" t="s">
        <v>4091</v>
      </c>
      <c r="AH1912" s="2">
        <v>44927</v>
      </c>
      <c r="AI1912" s="2">
        <v>45291</v>
      </c>
      <c r="AJ1912" s="2">
        <v>44927</v>
      </c>
    </row>
    <row r="1913" spans="1:36">
      <c r="A1913" s="1" t="str">
        <f>"Z5639C2AC2"</f>
        <v>Z5639C2AC2</v>
      </c>
      <c r="B1913" s="1" t="str">
        <f t="shared" si="44"/>
        <v>02406911202</v>
      </c>
      <c r="C1913" s="1" t="s">
        <v>13</v>
      </c>
      <c r="D1913" s="1" t="s">
        <v>205</v>
      </c>
      <c r="E1913" s="1" t="s">
        <v>1753</v>
      </c>
      <c r="F1913" s="1" t="s">
        <v>39</v>
      </c>
      <c r="G1913" s="1" t="str">
        <f>"01091760379"</f>
        <v>01091760379</v>
      </c>
      <c r="I1913" s="1" t="s">
        <v>4092</v>
      </c>
      <c r="L1913" s="1" t="s">
        <v>44</v>
      </c>
      <c r="M1913" s="1" t="s">
        <v>4093</v>
      </c>
      <c r="AG1913" s="1" t="s">
        <v>4094</v>
      </c>
      <c r="AH1913" s="2">
        <v>44927</v>
      </c>
      <c r="AI1913" s="2">
        <v>45291</v>
      </c>
      <c r="AJ1913" s="2">
        <v>44927</v>
      </c>
    </row>
    <row r="1914" spans="1:36">
      <c r="A1914" s="1" t="str">
        <f>"ZB439B2E9F"</f>
        <v>ZB439B2E9F</v>
      </c>
      <c r="B1914" s="1" t="str">
        <f t="shared" si="44"/>
        <v>02406911202</v>
      </c>
      <c r="C1914" s="1" t="s">
        <v>13</v>
      </c>
      <c r="D1914" s="1" t="s">
        <v>205</v>
      </c>
      <c r="E1914" s="1" t="s">
        <v>1753</v>
      </c>
      <c r="F1914" s="1" t="s">
        <v>39</v>
      </c>
      <c r="G1914" s="1" t="str">
        <f>"00881330377"</f>
        <v>00881330377</v>
      </c>
      <c r="I1914" s="1" t="s">
        <v>4095</v>
      </c>
      <c r="L1914" s="1" t="s">
        <v>44</v>
      </c>
      <c r="M1914" s="1" t="s">
        <v>4096</v>
      </c>
      <c r="AG1914" s="1" t="s">
        <v>4097</v>
      </c>
      <c r="AH1914" s="2">
        <v>44927</v>
      </c>
      <c r="AI1914" s="2">
        <v>45291</v>
      </c>
      <c r="AJ1914" s="2">
        <v>44927</v>
      </c>
    </row>
    <row r="1915" spans="1:36">
      <c r="A1915" s="1" t="str">
        <f>"9641302E17"</f>
        <v>9641302E17</v>
      </c>
      <c r="B1915" s="1" t="str">
        <f t="shared" si="44"/>
        <v>02406911202</v>
      </c>
      <c r="C1915" s="1" t="s">
        <v>13</v>
      </c>
      <c r="D1915" s="1" t="s">
        <v>37</v>
      </c>
      <c r="E1915" s="1" t="s">
        <v>1955</v>
      </c>
      <c r="F1915" s="1" t="s">
        <v>117</v>
      </c>
      <c r="G1915" s="1" t="str">
        <f>"10616310156"</f>
        <v>10616310156</v>
      </c>
      <c r="I1915" s="1" t="s">
        <v>1956</v>
      </c>
      <c r="L1915" s="1" t="s">
        <v>44</v>
      </c>
      <c r="M1915" s="1" t="s">
        <v>1957</v>
      </c>
      <c r="AG1915" s="1" t="s">
        <v>4098</v>
      </c>
      <c r="AH1915" s="2">
        <v>44943</v>
      </c>
      <c r="AI1915" s="2">
        <v>46022</v>
      </c>
      <c r="AJ1915" s="2">
        <v>44943</v>
      </c>
    </row>
    <row r="1916" spans="1:36">
      <c r="A1916" s="1" t="str">
        <f>"Z0A39D7548"</f>
        <v>Z0A39D7548</v>
      </c>
      <c r="B1916" s="1" t="str">
        <f t="shared" si="44"/>
        <v>02406911202</v>
      </c>
      <c r="C1916" s="1" t="s">
        <v>13</v>
      </c>
      <c r="D1916" s="1" t="s">
        <v>1741</v>
      </c>
      <c r="E1916" s="1" t="s">
        <v>4099</v>
      </c>
      <c r="F1916" s="1" t="s">
        <v>49</v>
      </c>
      <c r="G1916" s="1" t="str">
        <f>"02637200219"</f>
        <v>02637200219</v>
      </c>
      <c r="I1916" s="1" t="s">
        <v>4100</v>
      </c>
      <c r="L1916" s="1" t="s">
        <v>44</v>
      </c>
      <c r="M1916" s="1" t="s">
        <v>4101</v>
      </c>
      <c r="AG1916" s="1" t="s">
        <v>4101</v>
      </c>
      <c r="AH1916" s="2">
        <v>44927</v>
      </c>
      <c r="AI1916" s="2">
        <v>45291</v>
      </c>
      <c r="AJ1916" s="2">
        <v>44927</v>
      </c>
    </row>
    <row r="1917" spans="1:36">
      <c r="A1917" s="1" t="str">
        <f>"96410530A0"</f>
        <v>96410530A0</v>
      </c>
      <c r="B1917" s="1" t="str">
        <f t="shared" si="44"/>
        <v>02406911202</v>
      </c>
      <c r="C1917" s="1" t="s">
        <v>13</v>
      </c>
      <c r="D1917" s="1" t="s">
        <v>37</v>
      </c>
      <c r="E1917" s="1" t="s">
        <v>4102</v>
      </c>
      <c r="F1917" s="1" t="s">
        <v>39</v>
      </c>
      <c r="G1917" s="1" t="str">
        <f>"11317290150"</f>
        <v>11317290150</v>
      </c>
      <c r="I1917" s="1" t="s">
        <v>259</v>
      </c>
      <c r="L1917" s="1" t="s">
        <v>44</v>
      </c>
      <c r="M1917" s="1" t="s">
        <v>4103</v>
      </c>
      <c r="AG1917" s="1" t="s">
        <v>4104</v>
      </c>
      <c r="AH1917" s="2">
        <v>44986</v>
      </c>
      <c r="AI1917" s="2">
        <v>45716</v>
      </c>
      <c r="AJ1917" s="2">
        <v>44986</v>
      </c>
    </row>
    <row r="1918" spans="1:36">
      <c r="A1918" s="1" t="str">
        <f>"Z6039E16B5"</f>
        <v>Z6039E16B5</v>
      </c>
      <c r="B1918" s="1" t="str">
        <f t="shared" si="44"/>
        <v>02406911202</v>
      </c>
      <c r="C1918" s="1" t="s">
        <v>13</v>
      </c>
      <c r="D1918" s="1" t="s">
        <v>1257</v>
      </c>
      <c r="E1918" s="1" t="s">
        <v>4105</v>
      </c>
      <c r="F1918" s="1" t="s">
        <v>49</v>
      </c>
      <c r="G1918" s="1" t="str">
        <f>"04015790407"</f>
        <v>04015790407</v>
      </c>
      <c r="I1918" s="1" t="s">
        <v>1282</v>
      </c>
      <c r="L1918" s="1" t="s">
        <v>44</v>
      </c>
      <c r="M1918" s="1" t="s">
        <v>2155</v>
      </c>
      <c r="AG1918" s="1" t="s">
        <v>3549</v>
      </c>
      <c r="AH1918" s="2">
        <v>44966</v>
      </c>
      <c r="AI1918" s="2">
        <v>44980</v>
      </c>
      <c r="AJ1918" s="2">
        <v>44966</v>
      </c>
    </row>
    <row r="1919" spans="1:36">
      <c r="A1919" s="1" t="str">
        <f>"ZDE3A0E6FF"</f>
        <v>ZDE3A0E6FF</v>
      </c>
      <c r="B1919" s="1" t="str">
        <f t="shared" si="44"/>
        <v>02406911202</v>
      </c>
      <c r="C1919" s="1" t="s">
        <v>13</v>
      </c>
      <c r="D1919" s="1" t="s">
        <v>205</v>
      </c>
      <c r="E1919" s="1" t="s">
        <v>1686</v>
      </c>
      <c r="F1919" s="1" t="s">
        <v>39</v>
      </c>
      <c r="G1919" s="1" t="str">
        <f>"00258340348"</f>
        <v>00258340348</v>
      </c>
      <c r="I1919" s="1" t="s">
        <v>4106</v>
      </c>
      <c r="L1919" s="1" t="s">
        <v>44</v>
      </c>
      <c r="M1919" s="1" t="s">
        <v>917</v>
      </c>
      <c r="AG1919" s="1" t="s">
        <v>4107</v>
      </c>
      <c r="AH1919" s="2">
        <v>44927</v>
      </c>
      <c r="AI1919" s="2">
        <v>45291</v>
      </c>
      <c r="AJ1919" s="2">
        <v>44927</v>
      </c>
    </row>
    <row r="1920" spans="1:36">
      <c r="A1920" s="1" t="str">
        <f>"Z2F3A0E6E4"</f>
        <v>Z2F3A0E6E4</v>
      </c>
      <c r="B1920" s="1" t="str">
        <f t="shared" si="44"/>
        <v>02406911202</v>
      </c>
      <c r="C1920" s="1" t="s">
        <v>13</v>
      </c>
      <c r="D1920" s="1" t="s">
        <v>205</v>
      </c>
      <c r="E1920" s="1" t="s">
        <v>1686</v>
      </c>
      <c r="F1920" s="1" t="s">
        <v>39</v>
      </c>
      <c r="G1920" s="1" t="str">
        <f>"03835350376"</f>
        <v>03835350376</v>
      </c>
      <c r="I1920" s="1" t="s">
        <v>3498</v>
      </c>
      <c r="L1920" s="1" t="s">
        <v>44</v>
      </c>
      <c r="M1920" s="1" t="s">
        <v>4108</v>
      </c>
      <c r="AG1920" s="1" t="s">
        <v>4109</v>
      </c>
      <c r="AH1920" s="2">
        <v>44927</v>
      </c>
      <c r="AI1920" s="2">
        <v>45291</v>
      </c>
      <c r="AJ1920" s="2">
        <v>44927</v>
      </c>
    </row>
    <row r="1921" spans="1:36">
      <c r="A1921" s="1" t="str">
        <f>"Z0B3A0E9EF"</f>
        <v>Z0B3A0E9EF</v>
      </c>
      <c r="B1921" s="1" t="str">
        <f t="shared" si="44"/>
        <v>02406911202</v>
      </c>
      <c r="C1921" s="1" t="s">
        <v>13</v>
      </c>
      <c r="D1921" s="1" t="s">
        <v>205</v>
      </c>
      <c r="E1921" s="1" t="s">
        <v>1686</v>
      </c>
      <c r="F1921" s="1" t="s">
        <v>39</v>
      </c>
      <c r="G1921" s="1" t="str">
        <f>"03831150366"</f>
        <v>03831150366</v>
      </c>
      <c r="I1921" s="1" t="s">
        <v>1774</v>
      </c>
      <c r="L1921" s="1" t="s">
        <v>44</v>
      </c>
      <c r="M1921" s="1" t="s">
        <v>917</v>
      </c>
      <c r="AG1921" s="1" t="s">
        <v>4110</v>
      </c>
      <c r="AH1921" s="2">
        <v>44927</v>
      </c>
      <c r="AI1921" s="2">
        <v>45291</v>
      </c>
      <c r="AJ1921" s="2">
        <v>44927</v>
      </c>
    </row>
    <row r="1922" spans="1:36">
      <c r="A1922" s="1" t="str">
        <f>"Z3D3A0E0DC"</f>
        <v>Z3D3A0E0DC</v>
      </c>
      <c r="B1922" s="1" t="str">
        <f t="shared" si="44"/>
        <v>02406911202</v>
      </c>
      <c r="C1922" s="1" t="s">
        <v>13</v>
      </c>
      <c r="D1922" s="1" t="s">
        <v>205</v>
      </c>
      <c r="E1922" s="1" t="s">
        <v>1686</v>
      </c>
      <c r="F1922" s="1" t="s">
        <v>39</v>
      </c>
      <c r="G1922" s="1" t="str">
        <f>"01574960363"</f>
        <v>01574960363</v>
      </c>
      <c r="I1922" s="1" t="s">
        <v>4111</v>
      </c>
      <c r="L1922" s="1" t="s">
        <v>44</v>
      </c>
      <c r="M1922" s="1" t="s">
        <v>917</v>
      </c>
      <c r="AG1922" s="1" t="s">
        <v>124</v>
      </c>
      <c r="AH1922" s="2">
        <v>44927</v>
      </c>
      <c r="AI1922" s="2">
        <v>45291</v>
      </c>
      <c r="AJ1922" s="2">
        <v>44927</v>
      </c>
    </row>
    <row r="1923" spans="1:36">
      <c r="A1923" s="1" t="str">
        <f>"Z3D3A0E3CD"</f>
        <v>Z3D3A0E3CD</v>
      </c>
      <c r="B1923" s="1" t="str">
        <f t="shared" si="44"/>
        <v>02406911202</v>
      </c>
      <c r="C1923" s="1" t="s">
        <v>13</v>
      </c>
      <c r="D1923" s="1" t="s">
        <v>205</v>
      </c>
      <c r="E1923" s="1" t="s">
        <v>1686</v>
      </c>
      <c r="F1923" s="1" t="s">
        <v>39</v>
      </c>
      <c r="G1923" s="1" t="str">
        <f>"00827911207"</f>
        <v>00827911207</v>
      </c>
      <c r="I1923" s="1" t="s">
        <v>2352</v>
      </c>
      <c r="L1923" s="1" t="s">
        <v>44</v>
      </c>
      <c r="M1923" s="1" t="s">
        <v>917</v>
      </c>
      <c r="AG1923" s="1" t="s">
        <v>124</v>
      </c>
      <c r="AH1923" s="2">
        <v>44927</v>
      </c>
      <c r="AI1923" s="2">
        <v>45291</v>
      </c>
      <c r="AJ1923" s="2">
        <v>44927</v>
      </c>
    </row>
    <row r="1924" spans="1:36">
      <c r="A1924" s="1" t="str">
        <f>"Z1B3A0E085"</f>
        <v>Z1B3A0E085</v>
      </c>
      <c r="B1924" s="1" t="str">
        <f t="shared" si="44"/>
        <v>02406911202</v>
      </c>
      <c r="C1924" s="1" t="s">
        <v>13</v>
      </c>
      <c r="D1924" s="1" t="s">
        <v>205</v>
      </c>
      <c r="E1924" s="1" t="s">
        <v>1686</v>
      </c>
      <c r="F1924" s="1" t="s">
        <v>39</v>
      </c>
      <c r="G1924" s="1" t="str">
        <f>"03231570403"</f>
        <v>03231570403</v>
      </c>
      <c r="I1924" s="1" t="s">
        <v>4112</v>
      </c>
      <c r="L1924" s="1" t="s">
        <v>44</v>
      </c>
      <c r="M1924" s="1" t="s">
        <v>917</v>
      </c>
      <c r="AG1924" s="1" t="s">
        <v>124</v>
      </c>
      <c r="AH1924" s="2">
        <v>44927</v>
      </c>
      <c r="AI1924" s="2">
        <v>45291</v>
      </c>
      <c r="AJ1924" s="2">
        <v>44927</v>
      </c>
    </row>
    <row r="1925" spans="1:36">
      <c r="A1925" s="1" t="str">
        <f>"Z383A0DE88"</f>
        <v>Z383A0DE88</v>
      </c>
      <c r="B1925" s="1" t="str">
        <f t="shared" si="44"/>
        <v>02406911202</v>
      </c>
      <c r="C1925" s="1" t="s">
        <v>13</v>
      </c>
      <c r="D1925" s="1" t="s">
        <v>205</v>
      </c>
      <c r="E1925" s="1" t="s">
        <v>1686</v>
      </c>
      <c r="F1925" s="1" t="s">
        <v>39</v>
      </c>
      <c r="G1925" s="1" t="str">
        <f>"00913370367"</f>
        <v>00913370367</v>
      </c>
      <c r="I1925" s="1" t="s">
        <v>4113</v>
      </c>
      <c r="L1925" s="1" t="s">
        <v>44</v>
      </c>
      <c r="M1925" s="1" t="s">
        <v>917</v>
      </c>
      <c r="AG1925" s="1" t="s">
        <v>124</v>
      </c>
      <c r="AH1925" s="2">
        <v>44927</v>
      </c>
      <c r="AI1925" s="2">
        <v>45291</v>
      </c>
      <c r="AJ1925" s="2">
        <v>44927</v>
      </c>
    </row>
    <row r="1926" spans="1:36">
      <c r="A1926" s="1" t="str">
        <f>"Z823A2BA65"</f>
        <v>Z823A2BA65</v>
      </c>
      <c r="B1926" s="1" t="str">
        <f t="shared" ref="B1926:B1989" si="45">"02406911202"</f>
        <v>02406911202</v>
      </c>
      <c r="C1926" s="1" t="s">
        <v>13</v>
      </c>
      <c r="D1926" s="1" t="s">
        <v>1312</v>
      </c>
      <c r="E1926" s="1" t="s">
        <v>4114</v>
      </c>
      <c r="F1926" s="1" t="s">
        <v>49</v>
      </c>
      <c r="G1926" s="1" t="str">
        <f>"04207930373"</f>
        <v>04207930373</v>
      </c>
      <c r="I1926" s="1" t="s">
        <v>4115</v>
      </c>
      <c r="L1926" s="1" t="s">
        <v>44</v>
      </c>
      <c r="M1926" s="1" t="s">
        <v>933</v>
      </c>
      <c r="AG1926" s="1" t="s">
        <v>4116</v>
      </c>
      <c r="AH1926" s="2">
        <v>44986</v>
      </c>
      <c r="AI1926" s="2">
        <v>45291</v>
      </c>
      <c r="AJ1926" s="2">
        <v>44986</v>
      </c>
    </row>
    <row r="1927" spans="1:36">
      <c r="A1927" s="1" t="str">
        <f>"ZEC3A1D229"</f>
        <v>ZEC3A1D229</v>
      </c>
      <c r="B1927" s="1" t="str">
        <f t="shared" si="45"/>
        <v>02406911202</v>
      </c>
      <c r="C1927" s="1" t="s">
        <v>13</v>
      </c>
      <c r="D1927" s="1" t="s">
        <v>205</v>
      </c>
      <c r="E1927" s="1" t="s">
        <v>4117</v>
      </c>
      <c r="F1927" s="1" t="s">
        <v>49</v>
      </c>
      <c r="G1927" s="1" t="str">
        <f>"03706411208"</f>
        <v>03706411208</v>
      </c>
      <c r="I1927" s="1" t="s">
        <v>4118</v>
      </c>
      <c r="L1927" s="1" t="s">
        <v>44</v>
      </c>
      <c r="M1927" s="1" t="s">
        <v>4119</v>
      </c>
      <c r="AG1927" s="1" t="s">
        <v>4120</v>
      </c>
      <c r="AH1927" s="2">
        <v>44998</v>
      </c>
      <c r="AI1927" s="2">
        <v>45291</v>
      </c>
      <c r="AJ1927" s="2">
        <v>44998</v>
      </c>
    </row>
    <row r="1928" spans="1:36">
      <c r="A1928" s="1" t="str">
        <f>"Z233A7F88B"</f>
        <v>Z233A7F88B</v>
      </c>
      <c r="B1928" s="1" t="str">
        <f t="shared" si="45"/>
        <v>02406911202</v>
      </c>
      <c r="C1928" s="1" t="s">
        <v>13</v>
      </c>
      <c r="D1928" s="1" t="s">
        <v>1312</v>
      </c>
      <c r="E1928" s="1" t="s">
        <v>4121</v>
      </c>
      <c r="F1928" s="1" t="s">
        <v>49</v>
      </c>
      <c r="G1928" s="1" t="str">
        <f>"09012850153"</f>
        <v>09012850153</v>
      </c>
      <c r="I1928" s="1" t="s">
        <v>3674</v>
      </c>
      <c r="L1928" s="1" t="s">
        <v>44</v>
      </c>
      <c r="M1928" s="1" t="s">
        <v>1314</v>
      </c>
      <c r="AG1928" s="1" t="s">
        <v>4122</v>
      </c>
      <c r="AH1928" s="2">
        <v>45008</v>
      </c>
      <c r="AI1928" s="2">
        <v>45657</v>
      </c>
      <c r="AJ1928" s="2">
        <v>45008</v>
      </c>
    </row>
    <row r="1929" spans="1:36">
      <c r="A1929" s="1" t="str">
        <f>"Z133A804E6"</f>
        <v>Z133A804E6</v>
      </c>
      <c r="B1929" s="1" t="str">
        <f t="shared" si="45"/>
        <v>02406911202</v>
      </c>
      <c r="C1929" s="1" t="s">
        <v>13</v>
      </c>
      <c r="D1929" s="1" t="s">
        <v>1257</v>
      </c>
      <c r="E1929" s="1" t="s">
        <v>4123</v>
      </c>
      <c r="F1929" s="1" t="s">
        <v>49</v>
      </c>
      <c r="G1929" s="1" t="str">
        <f>"97466320153"</f>
        <v>97466320153</v>
      </c>
      <c r="I1929" s="1" t="s">
        <v>4124</v>
      </c>
      <c r="L1929" s="1" t="s">
        <v>44</v>
      </c>
      <c r="M1929" s="1" t="s">
        <v>946</v>
      </c>
      <c r="AG1929" s="1" t="s">
        <v>4125</v>
      </c>
      <c r="AH1929" s="2">
        <v>45008</v>
      </c>
      <c r="AI1929" s="2">
        <v>45291</v>
      </c>
      <c r="AJ1929" s="2">
        <v>45008</v>
      </c>
    </row>
    <row r="1930" spans="1:36">
      <c r="A1930" s="1" t="str">
        <f>"ZB039C926F"</f>
        <v>ZB039C926F</v>
      </c>
      <c r="B1930" s="1" t="str">
        <f t="shared" si="45"/>
        <v>02406911202</v>
      </c>
      <c r="C1930" s="1" t="s">
        <v>13</v>
      </c>
      <c r="D1930" s="1" t="s">
        <v>205</v>
      </c>
      <c r="E1930" s="1" t="s">
        <v>1677</v>
      </c>
      <c r="F1930" s="1" t="s">
        <v>39</v>
      </c>
      <c r="G1930" s="1" t="str">
        <f>"03355080379"</f>
        <v>03355080379</v>
      </c>
      <c r="I1930" s="1" t="s">
        <v>3492</v>
      </c>
      <c r="L1930" s="1" t="s">
        <v>44</v>
      </c>
      <c r="M1930" s="1" t="s">
        <v>4126</v>
      </c>
      <c r="AG1930" s="1" t="s">
        <v>4127</v>
      </c>
      <c r="AH1930" s="2">
        <v>44927</v>
      </c>
      <c r="AI1930" s="2">
        <v>45291</v>
      </c>
      <c r="AJ1930" s="2">
        <v>44927</v>
      </c>
    </row>
    <row r="1931" spans="1:36">
      <c r="A1931" s="1" t="str">
        <f>"ZE039C92A0"</f>
        <v>ZE039C92A0</v>
      </c>
      <c r="B1931" s="1" t="str">
        <f t="shared" si="45"/>
        <v>02406911202</v>
      </c>
      <c r="C1931" s="1" t="s">
        <v>13</v>
      </c>
      <c r="D1931" s="1" t="s">
        <v>205</v>
      </c>
      <c r="E1931" s="1" t="s">
        <v>1677</v>
      </c>
      <c r="F1931" s="1" t="s">
        <v>39</v>
      </c>
      <c r="G1931" s="1" t="str">
        <f>"02203870379"</f>
        <v>02203870379</v>
      </c>
      <c r="I1931" s="1" t="s">
        <v>3495</v>
      </c>
      <c r="L1931" s="1" t="s">
        <v>44</v>
      </c>
      <c r="M1931" s="1" t="s">
        <v>4128</v>
      </c>
      <c r="AG1931" s="1" t="s">
        <v>4129</v>
      </c>
      <c r="AH1931" s="2">
        <v>44927</v>
      </c>
      <c r="AI1931" s="2">
        <v>45291</v>
      </c>
      <c r="AJ1931" s="2">
        <v>44927</v>
      </c>
    </row>
    <row r="1932" spans="1:36">
      <c r="A1932" s="1" t="str">
        <f>"Z6539E056D"</f>
        <v>Z6539E056D</v>
      </c>
      <c r="B1932" s="1" t="str">
        <f t="shared" si="45"/>
        <v>02406911202</v>
      </c>
      <c r="C1932" s="1" t="s">
        <v>13</v>
      </c>
      <c r="D1932" s="1" t="s">
        <v>37</v>
      </c>
      <c r="E1932" s="1" t="s">
        <v>1627</v>
      </c>
      <c r="F1932" s="1" t="s">
        <v>117</v>
      </c>
      <c r="G1932" s="1" t="str">
        <f>"09693591001"</f>
        <v>09693591001</v>
      </c>
      <c r="I1932" s="1" t="s">
        <v>396</v>
      </c>
      <c r="L1932" s="1" t="s">
        <v>44</v>
      </c>
      <c r="M1932" s="1" t="s">
        <v>744</v>
      </c>
      <c r="AG1932" s="1" t="s">
        <v>4130</v>
      </c>
      <c r="AH1932" s="2">
        <v>44941</v>
      </c>
      <c r="AI1932" s="2">
        <v>45291</v>
      </c>
      <c r="AJ1932" s="2">
        <v>44941</v>
      </c>
    </row>
    <row r="1933" spans="1:36">
      <c r="A1933" s="1" t="str">
        <f>"ZED39E05CE"</f>
        <v>ZED39E05CE</v>
      </c>
      <c r="B1933" s="1" t="str">
        <f t="shared" si="45"/>
        <v>02406911202</v>
      </c>
      <c r="C1933" s="1" t="s">
        <v>13</v>
      </c>
      <c r="D1933" s="1" t="s">
        <v>37</v>
      </c>
      <c r="E1933" s="1" t="s">
        <v>1627</v>
      </c>
      <c r="F1933" s="1" t="s">
        <v>117</v>
      </c>
      <c r="G1933" s="1" t="str">
        <f>"07609020966"</f>
        <v>07609020966</v>
      </c>
      <c r="I1933" s="1" t="s">
        <v>3709</v>
      </c>
      <c r="L1933" s="1" t="s">
        <v>44</v>
      </c>
      <c r="M1933" s="1" t="s">
        <v>744</v>
      </c>
      <c r="AG1933" s="1" t="s">
        <v>4131</v>
      </c>
      <c r="AH1933" s="2">
        <v>44941</v>
      </c>
      <c r="AI1933" s="2">
        <v>45291</v>
      </c>
      <c r="AJ1933" s="2">
        <v>44941</v>
      </c>
    </row>
    <row r="1934" spans="1:36">
      <c r="A1934" s="1" t="str">
        <f>"96482270CC"</f>
        <v>96482270CC</v>
      </c>
      <c r="B1934" s="1" t="str">
        <f t="shared" si="45"/>
        <v>02406911202</v>
      </c>
      <c r="C1934" s="1" t="s">
        <v>13</v>
      </c>
      <c r="D1934" s="1" t="s">
        <v>37</v>
      </c>
      <c r="E1934" s="1" t="s">
        <v>1627</v>
      </c>
      <c r="F1934" s="1" t="s">
        <v>117</v>
      </c>
      <c r="G1934" s="1" t="str">
        <f>"09238800156"</f>
        <v>09238800156</v>
      </c>
      <c r="I1934" s="1" t="s">
        <v>88</v>
      </c>
      <c r="L1934" s="1" t="s">
        <v>44</v>
      </c>
      <c r="M1934" s="1" t="s">
        <v>2597</v>
      </c>
      <c r="AG1934" s="1" t="s">
        <v>4132</v>
      </c>
      <c r="AH1934" s="2">
        <v>44941</v>
      </c>
      <c r="AI1934" s="2">
        <v>45291</v>
      </c>
      <c r="AJ1934" s="2">
        <v>44941</v>
      </c>
    </row>
    <row r="1935" spans="1:36">
      <c r="A1935" s="1" t="str">
        <f>"ZB339EAA94"</f>
        <v>ZB339EAA94</v>
      </c>
      <c r="B1935" s="1" t="str">
        <f t="shared" si="45"/>
        <v>02406911202</v>
      </c>
      <c r="C1935" s="1" t="s">
        <v>13</v>
      </c>
      <c r="D1935" s="1" t="s">
        <v>1253</v>
      </c>
      <c r="E1935" s="1" t="s">
        <v>1317</v>
      </c>
      <c r="F1935" s="1" t="s">
        <v>49</v>
      </c>
      <c r="G1935" s="1" t="str">
        <f>"11206730159"</f>
        <v>11206730159</v>
      </c>
      <c r="I1935" s="1" t="s">
        <v>192</v>
      </c>
      <c r="L1935" s="1" t="s">
        <v>44</v>
      </c>
      <c r="M1935" s="1" t="s">
        <v>1255</v>
      </c>
      <c r="AG1935" s="1" t="s">
        <v>4133</v>
      </c>
      <c r="AH1935" s="2">
        <v>44970</v>
      </c>
      <c r="AI1935" s="2">
        <v>45291</v>
      </c>
      <c r="AJ1935" s="2">
        <v>44970</v>
      </c>
    </row>
    <row r="1936" spans="1:36">
      <c r="A1936" s="1" t="str">
        <f>"ZB039E0608"</f>
        <v>ZB039E0608</v>
      </c>
      <c r="B1936" s="1" t="str">
        <f t="shared" si="45"/>
        <v>02406911202</v>
      </c>
      <c r="C1936" s="1" t="s">
        <v>13</v>
      </c>
      <c r="D1936" s="1" t="s">
        <v>37</v>
      </c>
      <c r="E1936" s="1" t="s">
        <v>1627</v>
      </c>
      <c r="F1936" s="1" t="s">
        <v>117</v>
      </c>
      <c r="G1936" s="1" t="str">
        <f>"02804530968"</f>
        <v>02804530968</v>
      </c>
      <c r="I1936" s="1" t="s">
        <v>1599</v>
      </c>
      <c r="L1936" s="1" t="s">
        <v>44</v>
      </c>
      <c r="M1936" s="1" t="s">
        <v>946</v>
      </c>
      <c r="AG1936" s="1" t="s">
        <v>4134</v>
      </c>
      <c r="AH1936" s="2">
        <v>44941</v>
      </c>
      <c r="AI1936" s="2">
        <v>45291</v>
      </c>
      <c r="AJ1936" s="2">
        <v>44941</v>
      </c>
    </row>
    <row r="1937" spans="1:36">
      <c r="A1937" s="1" t="str">
        <f>"ZD539E0633"</f>
        <v>ZD539E0633</v>
      </c>
      <c r="B1937" s="1" t="str">
        <f t="shared" si="45"/>
        <v>02406911202</v>
      </c>
      <c r="C1937" s="1" t="s">
        <v>13</v>
      </c>
      <c r="D1937" s="1" t="s">
        <v>37</v>
      </c>
      <c r="E1937" s="1" t="s">
        <v>1627</v>
      </c>
      <c r="F1937" s="1" t="s">
        <v>117</v>
      </c>
      <c r="G1937" s="1" t="str">
        <f>"02123550200"</f>
        <v>02123550200</v>
      </c>
      <c r="I1937" s="1" t="s">
        <v>1286</v>
      </c>
      <c r="L1937" s="1" t="s">
        <v>44</v>
      </c>
      <c r="M1937" s="1" t="s">
        <v>2980</v>
      </c>
      <c r="AG1937" s="1" t="s">
        <v>4135</v>
      </c>
      <c r="AH1937" s="2">
        <v>44941</v>
      </c>
      <c r="AI1937" s="2">
        <v>45291</v>
      </c>
      <c r="AJ1937" s="2">
        <v>44941</v>
      </c>
    </row>
    <row r="1938" spans="1:36">
      <c r="A1938" s="1" t="str">
        <f>"ZAF3A98BFE"</f>
        <v>ZAF3A98BFE</v>
      </c>
      <c r="B1938" s="1" t="str">
        <f t="shared" si="45"/>
        <v>02406911202</v>
      </c>
      <c r="C1938" s="1" t="s">
        <v>13</v>
      </c>
      <c r="D1938" s="1" t="s">
        <v>1253</v>
      </c>
      <c r="E1938" s="1" t="s">
        <v>1387</v>
      </c>
      <c r="F1938" s="1" t="s">
        <v>49</v>
      </c>
      <c r="G1938" s="1" t="str">
        <f>"01286700487"</f>
        <v>01286700487</v>
      </c>
      <c r="I1938" s="1" t="s">
        <v>1572</v>
      </c>
      <c r="L1938" s="1" t="s">
        <v>44</v>
      </c>
      <c r="M1938" s="1" t="s">
        <v>1255</v>
      </c>
      <c r="AG1938" s="1" t="s">
        <v>924</v>
      </c>
      <c r="AH1938" s="2">
        <v>45015</v>
      </c>
      <c r="AI1938" s="2">
        <v>45291</v>
      </c>
      <c r="AJ1938" s="2">
        <v>45015</v>
      </c>
    </row>
    <row r="1939" spans="1:36">
      <c r="A1939" s="1" t="str">
        <f>"Z073A84E24"</f>
        <v>Z073A84E24</v>
      </c>
      <c r="B1939" s="1" t="str">
        <f t="shared" si="45"/>
        <v>02406911202</v>
      </c>
      <c r="C1939" s="1" t="s">
        <v>13</v>
      </c>
      <c r="D1939" s="1" t="s">
        <v>37</v>
      </c>
      <c r="E1939" s="1" t="s">
        <v>4136</v>
      </c>
      <c r="F1939" s="1" t="s">
        <v>49</v>
      </c>
      <c r="G1939" s="1" t="str">
        <f>"01678220235"</f>
        <v>01678220235</v>
      </c>
      <c r="I1939" s="1" t="s">
        <v>1787</v>
      </c>
      <c r="L1939" s="1" t="s">
        <v>44</v>
      </c>
      <c r="M1939" s="1" t="s">
        <v>1858</v>
      </c>
      <c r="AG1939" s="1" t="s">
        <v>4137</v>
      </c>
      <c r="AH1939" s="2">
        <v>45011</v>
      </c>
      <c r="AI1939" s="2">
        <v>45378</v>
      </c>
      <c r="AJ1939" s="2">
        <v>45011</v>
      </c>
    </row>
    <row r="1940" spans="1:36">
      <c r="A1940" s="1" t="str">
        <f>"ZBE3A98D18"</f>
        <v>ZBE3A98D18</v>
      </c>
      <c r="B1940" s="1" t="str">
        <f t="shared" si="45"/>
        <v>02406911202</v>
      </c>
      <c r="C1940" s="1" t="s">
        <v>13</v>
      </c>
      <c r="D1940" s="1" t="s">
        <v>1253</v>
      </c>
      <c r="E1940" s="1" t="s">
        <v>1260</v>
      </c>
      <c r="F1940" s="1" t="s">
        <v>49</v>
      </c>
      <c r="G1940" s="1" t="str">
        <f>"03353370160"</f>
        <v>03353370160</v>
      </c>
      <c r="I1940" s="1" t="s">
        <v>1337</v>
      </c>
      <c r="L1940" s="1" t="s">
        <v>44</v>
      </c>
      <c r="M1940" s="1" t="s">
        <v>1255</v>
      </c>
      <c r="AG1940" s="1" t="s">
        <v>4138</v>
      </c>
      <c r="AH1940" s="2">
        <v>45015</v>
      </c>
      <c r="AI1940" s="2">
        <v>45291</v>
      </c>
      <c r="AJ1940" s="2">
        <v>45015</v>
      </c>
    </row>
    <row r="1941" spans="1:36">
      <c r="A1941" s="1" t="str">
        <f>"ZE43A98D88"</f>
        <v>ZE43A98D88</v>
      </c>
      <c r="B1941" s="1" t="str">
        <f t="shared" si="45"/>
        <v>02406911202</v>
      </c>
      <c r="C1941" s="1" t="s">
        <v>13</v>
      </c>
      <c r="D1941" s="1" t="s">
        <v>1253</v>
      </c>
      <c r="E1941" s="1" t="s">
        <v>1270</v>
      </c>
      <c r="F1941" s="1" t="s">
        <v>49</v>
      </c>
      <c r="H1941" s="1" t="str">
        <f>"622681570001"</f>
        <v>622681570001</v>
      </c>
      <c r="I1941" s="1" t="s">
        <v>4139</v>
      </c>
      <c r="L1941" s="1" t="s">
        <v>44</v>
      </c>
      <c r="M1941" s="1" t="s">
        <v>153</v>
      </c>
      <c r="AG1941" s="1" t="s">
        <v>4140</v>
      </c>
      <c r="AH1941" s="2">
        <v>45015</v>
      </c>
      <c r="AI1941" s="2">
        <v>45291</v>
      </c>
      <c r="AJ1941" s="2">
        <v>45015</v>
      </c>
    </row>
    <row r="1942" spans="1:36">
      <c r="A1942" s="1" t="str">
        <f>"ZF33A9F49A"</f>
        <v>ZF33A9F49A</v>
      </c>
      <c r="B1942" s="1" t="str">
        <f t="shared" si="45"/>
        <v>02406911202</v>
      </c>
      <c r="C1942" s="1" t="s">
        <v>13</v>
      </c>
      <c r="D1942" s="1" t="s">
        <v>1253</v>
      </c>
      <c r="E1942" s="1" t="s">
        <v>1254</v>
      </c>
      <c r="F1942" s="1" t="s">
        <v>49</v>
      </c>
      <c r="G1942" s="1" t="str">
        <f>"06032681006"</f>
        <v>06032681006</v>
      </c>
      <c r="I1942" s="1" t="s">
        <v>1351</v>
      </c>
      <c r="L1942" s="1" t="s">
        <v>44</v>
      </c>
      <c r="M1942" s="1" t="s">
        <v>1255</v>
      </c>
      <c r="AG1942" s="1" t="s">
        <v>4141</v>
      </c>
      <c r="AH1942" s="2">
        <v>45016</v>
      </c>
      <c r="AI1942" s="2">
        <v>45291</v>
      </c>
      <c r="AJ1942" s="2">
        <v>45016</v>
      </c>
    </row>
    <row r="1943" spans="1:36">
      <c r="A1943" s="1" t="str">
        <f>"Z213AB6B68"</f>
        <v>Z213AB6B68</v>
      </c>
      <c r="B1943" s="1" t="str">
        <f t="shared" si="45"/>
        <v>02406911202</v>
      </c>
      <c r="C1943" s="1" t="s">
        <v>13</v>
      </c>
      <c r="D1943" s="1" t="s">
        <v>1253</v>
      </c>
      <c r="E1943" s="1" t="s">
        <v>1387</v>
      </c>
      <c r="F1943" s="1" t="s">
        <v>49</v>
      </c>
      <c r="G1943" s="1" t="str">
        <f>"01099110999"</f>
        <v>01099110999</v>
      </c>
      <c r="I1943" s="1" t="s">
        <v>2498</v>
      </c>
      <c r="L1943" s="1" t="s">
        <v>44</v>
      </c>
      <c r="M1943" s="1" t="s">
        <v>1255</v>
      </c>
      <c r="AG1943" s="1" t="s">
        <v>4142</v>
      </c>
      <c r="AH1943" s="2">
        <v>45023</v>
      </c>
      <c r="AI1943" s="2">
        <v>45291</v>
      </c>
      <c r="AJ1943" s="2">
        <v>45023</v>
      </c>
    </row>
    <row r="1944" spans="1:36">
      <c r="A1944" s="1" t="str">
        <f>"ZE13ACB792"</f>
        <v>ZE13ACB792</v>
      </c>
      <c r="B1944" s="1" t="str">
        <f t="shared" si="45"/>
        <v>02406911202</v>
      </c>
      <c r="C1944" s="1" t="s">
        <v>13</v>
      </c>
      <c r="D1944" s="1" t="s">
        <v>1312</v>
      </c>
      <c r="E1944" s="1" t="s">
        <v>1693</v>
      </c>
      <c r="F1944" s="1" t="s">
        <v>49</v>
      </c>
      <c r="G1944" s="1" t="str">
        <f>"11575580151"</f>
        <v>11575580151</v>
      </c>
      <c r="I1944" s="1" t="s">
        <v>290</v>
      </c>
      <c r="L1944" s="1" t="s">
        <v>44</v>
      </c>
      <c r="M1944" s="1" t="s">
        <v>1314</v>
      </c>
      <c r="AG1944" s="1" t="s">
        <v>4143</v>
      </c>
      <c r="AH1944" s="2">
        <v>45030</v>
      </c>
      <c r="AI1944" s="2">
        <v>45657</v>
      </c>
      <c r="AJ1944" s="2">
        <v>45030</v>
      </c>
    </row>
    <row r="1945" spans="1:36">
      <c r="A1945" s="1" t="str">
        <f>"9772928B4E"</f>
        <v>9772928B4E</v>
      </c>
      <c r="B1945" s="1" t="str">
        <f t="shared" si="45"/>
        <v>02406911202</v>
      </c>
      <c r="C1945" s="1" t="s">
        <v>13</v>
      </c>
      <c r="D1945" s="1" t="s">
        <v>37</v>
      </c>
      <c r="E1945" s="1" t="s">
        <v>4144</v>
      </c>
      <c r="F1945" s="1" t="s">
        <v>99</v>
      </c>
      <c r="G1945" s="1" t="str">
        <f>"01461070094"</f>
        <v>01461070094</v>
      </c>
      <c r="I1945" s="1" t="s">
        <v>3373</v>
      </c>
      <c r="L1945" s="1" t="s">
        <v>44</v>
      </c>
      <c r="M1945" s="1" t="s">
        <v>4145</v>
      </c>
      <c r="AG1945" s="1" t="s">
        <v>124</v>
      </c>
      <c r="AH1945" s="2">
        <v>45047</v>
      </c>
      <c r="AI1945" s="2">
        <v>45412</v>
      </c>
      <c r="AJ1945" s="2">
        <v>45047</v>
      </c>
    </row>
    <row r="1946" spans="1:36">
      <c r="A1946" s="1" t="str">
        <f>"ZD83AFBEA8"</f>
        <v>ZD83AFBEA8</v>
      </c>
      <c r="B1946" s="1" t="str">
        <f t="shared" si="45"/>
        <v>02406911202</v>
      </c>
      <c r="C1946" s="1" t="s">
        <v>13</v>
      </c>
      <c r="D1946" s="1" t="s">
        <v>1312</v>
      </c>
      <c r="E1946" s="1" t="s">
        <v>4146</v>
      </c>
      <c r="F1946" s="1" t="s">
        <v>49</v>
      </c>
      <c r="G1946" s="1" t="str">
        <f>"02668590215"</f>
        <v>02668590215</v>
      </c>
      <c r="I1946" s="1" t="s">
        <v>1335</v>
      </c>
      <c r="L1946" s="1" t="s">
        <v>44</v>
      </c>
      <c r="M1946" s="1" t="s">
        <v>1314</v>
      </c>
      <c r="AG1946" s="1" t="s">
        <v>124</v>
      </c>
      <c r="AH1946" s="2">
        <v>45048</v>
      </c>
      <c r="AI1946" s="2">
        <v>46022</v>
      </c>
      <c r="AJ1946" s="2">
        <v>45048</v>
      </c>
    </row>
    <row r="1947" spans="1:36">
      <c r="A1947" s="1" t="str">
        <f>"985684911E"</f>
        <v>985684911E</v>
      </c>
      <c r="B1947" s="1" t="str">
        <f t="shared" si="45"/>
        <v>02406911202</v>
      </c>
      <c r="C1947" s="1" t="s">
        <v>13</v>
      </c>
      <c r="D1947" s="1" t="s">
        <v>37</v>
      </c>
      <c r="E1947" s="1" t="s">
        <v>4147</v>
      </c>
      <c r="F1947" s="1" t="s">
        <v>117</v>
      </c>
      <c r="G1947" s="1" t="str">
        <f>"00691781207"</f>
        <v>00691781207</v>
      </c>
      <c r="I1947" s="1" t="s">
        <v>704</v>
      </c>
      <c r="L1947" s="1" t="s">
        <v>44</v>
      </c>
      <c r="M1947" s="1" t="s">
        <v>720</v>
      </c>
      <c r="AG1947" s="1" t="s">
        <v>4148</v>
      </c>
      <c r="AH1947" s="2">
        <v>45078</v>
      </c>
      <c r="AI1947" s="2">
        <v>45366</v>
      </c>
      <c r="AJ1947" s="2">
        <v>45078</v>
      </c>
    </row>
    <row r="1948" spans="1:36">
      <c r="A1948" s="1" t="str">
        <f>"Z6F3B7FEB8"</f>
        <v>Z6F3B7FEB8</v>
      </c>
      <c r="B1948" s="1" t="str">
        <f t="shared" si="45"/>
        <v>02406911202</v>
      </c>
      <c r="C1948" s="1" t="s">
        <v>13</v>
      </c>
      <c r="D1948" s="1" t="s">
        <v>1253</v>
      </c>
      <c r="E1948" s="1" t="s">
        <v>1262</v>
      </c>
      <c r="F1948" s="1" t="s">
        <v>49</v>
      </c>
      <c r="G1948" s="1" t="str">
        <f>"00212840235"</f>
        <v>00212840235</v>
      </c>
      <c r="I1948" s="1" t="s">
        <v>3380</v>
      </c>
      <c r="L1948" s="1" t="s">
        <v>44</v>
      </c>
      <c r="M1948" s="1" t="s">
        <v>1255</v>
      </c>
      <c r="AG1948" s="1" t="s">
        <v>4149</v>
      </c>
      <c r="AH1948" s="2">
        <v>45086</v>
      </c>
      <c r="AI1948" s="2">
        <v>45291</v>
      </c>
      <c r="AJ1948" s="2">
        <v>45086</v>
      </c>
    </row>
    <row r="1949" spans="1:36">
      <c r="A1949" s="1" t="str">
        <f>"ZDC3B054C4"</f>
        <v>ZDC3B054C4</v>
      </c>
      <c r="B1949" s="1" t="str">
        <f t="shared" si="45"/>
        <v>02406911202</v>
      </c>
      <c r="C1949" s="1" t="s">
        <v>13</v>
      </c>
      <c r="D1949" s="1" t="s">
        <v>1253</v>
      </c>
      <c r="E1949" s="1" t="s">
        <v>1260</v>
      </c>
      <c r="F1949" s="1" t="s">
        <v>49</v>
      </c>
      <c r="G1949" s="1" t="str">
        <f>"03279980134"</f>
        <v>03279980134</v>
      </c>
      <c r="I1949" s="1" t="s">
        <v>1285</v>
      </c>
      <c r="L1949" s="1" t="s">
        <v>44</v>
      </c>
      <c r="M1949" s="1" t="s">
        <v>1255</v>
      </c>
      <c r="AG1949" s="1" t="s">
        <v>124</v>
      </c>
      <c r="AH1949" s="2">
        <v>45050</v>
      </c>
      <c r="AI1949" s="2">
        <v>45291</v>
      </c>
      <c r="AJ1949" s="2">
        <v>45050</v>
      </c>
    </row>
    <row r="1950" spans="1:36">
      <c r="A1950" s="1" t="str">
        <f>"Z703B05AF4"</f>
        <v>Z703B05AF4</v>
      </c>
      <c r="B1950" s="1" t="str">
        <f t="shared" si="45"/>
        <v>02406911202</v>
      </c>
      <c r="C1950" s="1" t="s">
        <v>13</v>
      </c>
      <c r="D1950" s="1" t="s">
        <v>1253</v>
      </c>
      <c r="E1950" s="1" t="s">
        <v>1262</v>
      </c>
      <c r="F1950" s="1" t="s">
        <v>49</v>
      </c>
      <c r="G1950" s="1" t="str">
        <f>"13445820155"</f>
        <v>13445820155</v>
      </c>
      <c r="I1950" s="1" t="s">
        <v>1909</v>
      </c>
      <c r="L1950" s="1" t="s">
        <v>44</v>
      </c>
      <c r="M1950" s="1" t="s">
        <v>1255</v>
      </c>
      <c r="AG1950" s="1" t="s">
        <v>4150</v>
      </c>
      <c r="AH1950" s="2">
        <v>45050</v>
      </c>
      <c r="AI1950" s="2">
        <v>45291</v>
      </c>
      <c r="AJ1950" s="2">
        <v>45050</v>
      </c>
    </row>
    <row r="1951" spans="1:36">
      <c r="A1951" s="1" t="str">
        <f>"Z5B3ADC657"</f>
        <v>Z5B3ADC657</v>
      </c>
      <c r="B1951" s="1" t="str">
        <f t="shared" si="45"/>
        <v>02406911202</v>
      </c>
      <c r="C1951" s="1" t="s">
        <v>13</v>
      </c>
      <c r="D1951" s="1" t="s">
        <v>1253</v>
      </c>
      <c r="E1951" s="1" t="s">
        <v>1260</v>
      </c>
      <c r="F1951" s="1" t="s">
        <v>49</v>
      </c>
      <c r="G1951" s="1" t="str">
        <f>"01975020130"</f>
        <v>01975020130</v>
      </c>
      <c r="I1951" s="1" t="s">
        <v>1737</v>
      </c>
      <c r="L1951" s="1" t="s">
        <v>44</v>
      </c>
      <c r="M1951" s="1" t="s">
        <v>1255</v>
      </c>
      <c r="AG1951" s="1" t="s">
        <v>2161</v>
      </c>
      <c r="AH1951" s="2">
        <v>45056</v>
      </c>
      <c r="AI1951" s="2">
        <v>45291</v>
      </c>
      <c r="AJ1951" s="2">
        <v>45056</v>
      </c>
    </row>
    <row r="1952" spans="1:36">
      <c r="A1952" s="1" t="str">
        <f>"9860725FAD"</f>
        <v>9860725FAD</v>
      </c>
      <c r="B1952" s="1" t="str">
        <f t="shared" si="45"/>
        <v>02406911202</v>
      </c>
      <c r="C1952" s="1" t="s">
        <v>13</v>
      </c>
      <c r="D1952" s="1" t="s">
        <v>37</v>
      </c>
      <c r="E1952" s="1" t="s">
        <v>4151</v>
      </c>
      <c r="F1952" s="1" t="s">
        <v>117</v>
      </c>
      <c r="G1952" s="1" t="str">
        <f>"00076670595"</f>
        <v>00076670595</v>
      </c>
      <c r="I1952" s="1" t="s">
        <v>133</v>
      </c>
      <c r="L1952" s="1" t="s">
        <v>44</v>
      </c>
      <c r="M1952" s="1" t="s">
        <v>511</v>
      </c>
      <c r="AG1952" s="1" t="s">
        <v>124</v>
      </c>
      <c r="AH1952" s="2">
        <v>45082</v>
      </c>
      <c r="AI1952" s="2">
        <v>45230</v>
      </c>
      <c r="AJ1952" s="2">
        <v>45082</v>
      </c>
    </row>
    <row r="1953" spans="1:36">
      <c r="A1953" s="1" t="str">
        <f>"Z543B781C9"</f>
        <v>Z543B781C9</v>
      </c>
      <c r="B1953" s="1" t="str">
        <f t="shared" si="45"/>
        <v>02406911202</v>
      </c>
      <c r="C1953" s="1" t="s">
        <v>13</v>
      </c>
      <c r="D1953" s="1" t="s">
        <v>1312</v>
      </c>
      <c r="E1953" s="1" t="s">
        <v>1974</v>
      </c>
      <c r="F1953" s="1" t="s">
        <v>49</v>
      </c>
      <c r="G1953" s="1" t="str">
        <f>"01541941207"</f>
        <v>01541941207</v>
      </c>
      <c r="I1953" s="1" t="s">
        <v>4152</v>
      </c>
      <c r="L1953" s="1" t="s">
        <v>44</v>
      </c>
      <c r="M1953" s="1" t="s">
        <v>2661</v>
      </c>
      <c r="AG1953" s="1" t="s">
        <v>124</v>
      </c>
      <c r="AH1953" s="2">
        <v>45071</v>
      </c>
      <c r="AI1953" s="2">
        <v>45077</v>
      </c>
      <c r="AJ1953" s="2">
        <v>45071</v>
      </c>
    </row>
    <row r="1954" spans="1:36">
      <c r="A1954" s="1" t="str">
        <f>"9863624804"</f>
        <v>9863624804</v>
      </c>
      <c r="B1954" s="1" t="str">
        <f t="shared" si="45"/>
        <v>02406911202</v>
      </c>
      <c r="C1954" s="1" t="s">
        <v>13</v>
      </c>
      <c r="D1954" s="1" t="s">
        <v>37</v>
      </c>
      <c r="E1954" s="1" t="s">
        <v>4153</v>
      </c>
      <c r="F1954" s="1" t="s">
        <v>117</v>
      </c>
      <c r="G1954" s="1" t="str">
        <f>"00847380961"</f>
        <v>00847380961</v>
      </c>
      <c r="I1954" s="1" t="s">
        <v>1503</v>
      </c>
      <c r="L1954" s="1" t="s">
        <v>44</v>
      </c>
      <c r="M1954" s="1" t="s">
        <v>841</v>
      </c>
      <c r="AG1954" s="1" t="s">
        <v>124</v>
      </c>
      <c r="AH1954" s="2">
        <v>45082</v>
      </c>
      <c r="AI1954" s="2">
        <v>45291</v>
      </c>
      <c r="AJ1954" s="2">
        <v>45082</v>
      </c>
    </row>
    <row r="1955" spans="1:36">
      <c r="A1955" s="1" t="str">
        <f>"Z033B7ACAA"</f>
        <v>Z033B7ACAA</v>
      </c>
      <c r="B1955" s="1" t="str">
        <f t="shared" si="45"/>
        <v>02406911202</v>
      </c>
      <c r="C1955" s="1" t="s">
        <v>13</v>
      </c>
      <c r="D1955" s="1" t="s">
        <v>1257</v>
      </c>
      <c r="E1955" s="1" t="s">
        <v>4154</v>
      </c>
      <c r="F1955" s="1" t="s">
        <v>49</v>
      </c>
      <c r="G1955" s="1" t="str">
        <f>"02154270595"</f>
        <v>02154270595</v>
      </c>
      <c r="I1955" s="1" t="s">
        <v>928</v>
      </c>
      <c r="L1955" s="1" t="s">
        <v>44</v>
      </c>
      <c r="M1955" s="1" t="s">
        <v>930</v>
      </c>
      <c r="AG1955" s="1" t="s">
        <v>124</v>
      </c>
      <c r="AH1955" s="2">
        <v>45085</v>
      </c>
      <c r="AI1955" s="2">
        <v>45291</v>
      </c>
      <c r="AJ1955" s="2">
        <v>45085</v>
      </c>
    </row>
    <row r="1956" spans="1:36">
      <c r="A1956" s="1" t="str">
        <f>"Z693B7AFA5"</f>
        <v>Z693B7AFA5</v>
      </c>
      <c r="B1956" s="1" t="str">
        <f t="shared" si="45"/>
        <v>02406911202</v>
      </c>
      <c r="C1956" s="1" t="s">
        <v>13</v>
      </c>
      <c r="D1956" s="1" t="s">
        <v>1253</v>
      </c>
      <c r="E1956" s="1" t="s">
        <v>1270</v>
      </c>
      <c r="F1956" s="1" t="s">
        <v>49</v>
      </c>
      <c r="G1956" s="1" t="str">
        <f>"02829240155"</f>
        <v>02829240155</v>
      </c>
      <c r="I1956" s="1" t="s">
        <v>4155</v>
      </c>
      <c r="L1956" s="1" t="s">
        <v>44</v>
      </c>
      <c r="M1956" s="1" t="s">
        <v>153</v>
      </c>
      <c r="AG1956" s="1" t="s">
        <v>4156</v>
      </c>
      <c r="AH1956" s="2">
        <v>45085</v>
      </c>
      <c r="AI1956" s="2">
        <v>45291</v>
      </c>
      <c r="AJ1956" s="2">
        <v>45085</v>
      </c>
    </row>
    <row r="1957" spans="1:36">
      <c r="A1957" s="1" t="str">
        <f>"Z263B7B80F"</f>
        <v>Z263B7B80F</v>
      </c>
      <c r="B1957" s="1" t="str">
        <f t="shared" si="45"/>
        <v>02406911202</v>
      </c>
      <c r="C1957" s="1" t="s">
        <v>13</v>
      </c>
      <c r="D1957" s="1" t="s">
        <v>1253</v>
      </c>
      <c r="E1957" s="1" t="s">
        <v>1317</v>
      </c>
      <c r="F1957" s="1" t="s">
        <v>49</v>
      </c>
      <c r="G1957" s="1" t="str">
        <f>"05896100962"</f>
        <v>05896100962</v>
      </c>
      <c r="I1957" s="1" t="s">
        <v>1413</v>
      </c>
      <c r="L1957" s="1" t="s">
        <v>44</v>
      </c>
      <c r="M1957" s="1" t="s">
        <v>1255</v>
      </c>
      <c r="AG1957" s="1" t="s">
        <v>1414</v>
      </c>
      <c r="AH1957" s="2">
        <v>45085</v>
      </c>
      <c r="AI1957" s="2">
        <v>45291</v>
      </c>
      <c r="AJ1957" s="2">
        <v>45085</v>
      </c>
    </row>
    <row r="1958" spans="1:36">
      <c r="A1958" s="1" t="str">
        <f>"Z173B7BBDC"</f>
        <v>Z173B7BBDC</v>
      </c>
      <c r="B1958" s="1" t="str">
        <f t="shared" si="45"/>
        <v>02406911202</v>
      </c>
      <c r="C1958" s="1" t="s">
        <v>13</v>
      </c>
      <c r="D1958" s="1" t="s">
        <v>1253</v>
      </c>
      <c r="E1958" s="1" t="s">
        <v>1270</v>
      </c>
      <c r="F1958" s="1" t="s">
        <v>49</v>
      </c>
      <c r="G1958" s="1" t="str">
        <f>"01739990487"</f>
        <v>01739990487</v>
      </c>
      <c r="I1958" s="1" t="s">
        <v>4157</v>
      </c>
      <c r="L1958" s="1" t="s">
        <v>44</v>
      </c>
      <c r="M1958" s="1" t="s">
        <v>153</v>
      </c>
      <c r="AG1958" s="1" t="s">
        <v>4158</v>
      </c>
      <c r="AH1958" s="2">
        <v>45085</v>
      </c>
      <c r="AI1958" s="2">
        <v>45291</v>
      </c>
      <c r="AJ1958" s="2">
        <v>45085</v>
      </c>
    </row>
    <row r="1959" spans="1:36">
      <c r="A1959" s="1" t="str">
        <f>"Z403B7D794"</f>
        <v>Z403B7D794</v>
      </c>
      <c r="B1959" s="1" t="str">
        <f t="shared" si="45"/>
        <v>02406911202</v>
      </c>
      <c r="C1959" s="1" t="s">
        <v>13</v>
      </c>
      <c r="D1959" s="1" t="s">
        <v>1253</v>
      </c>
      <c r="E1959" s="1" t="s">
        <v>1260</v>
      </c>
      <c r="F1959" s="1" t="s">
        <v>49</v>
      </c>
      <c r="G1959" s="1" t="str">
        <f>"09270550016"</f>
        <v>09270550016</v>
      </c>
      <c r="I1959" s="1" t="s">
        <v>1328</v>
      </c>
      <c r="L1959" s="1" t="s">
        <v>44</v>
      </c>
      <c r="M1959" s="1" t="s">
        <v>1255</v>
      </c>
      <c r="AG1959" s="1" t="s">
        <v>4159</v>
      </c>
      <c r="AH1959" s="2">
        <v>45086</v>
      </c>
      <c r="AI1959" s="2">
        <v>45291</v>
      </c>
      <c r="AJ1959" s="2">
        <v>45086</v>
      </c>
    </row>
    <row r="1960" spans="1:36">
      <c r="A1960" s="1" t="str">
        <f>"Z313B7D775"</f>
        <v>Z313B7D775</v>
      </c>
      <c r="B1960" s="1" t="str">
        <f t="shared" si="45"/>
        <v>02406911202</v>
      </c>
      <c r="C1960" s="1" t="s">
        <v>13</v>
      </c>
      <c r="D1960" s="1" t="s">
        <v>1253</v>
      </c>
      <c r="E1960" s="1" t="s">
        <v>1260</v>
      </c>
      <c r="F1960" s="1" t="s">
        <v>49</v>
      </c>
      <c r="G1960" s="1" t="str">
        <f>"06032681006"</f>
        <v>06032681006</v>
      </c>
      <c r="I1960" s="1" t="s">
        <v>1351</v>
      </c>
      <c r="L1960" s="1" t="s">
        <v>44</v>
      </c>
      <c r="M1960" s="1" t="s">
        <v>1255</v>
      </c>
      <c r="AG1960" s="1" t="s">
        <v>4160</v>
      </c>
      <c r="AH1960" s="2">
        <v>45086</v>
      </c>
      <c r="AI1960" s="2">
        <v>45291</v>
      </c>
      <c r="AJ1960" s="2">
        <v>45086</v>
      </c>
    </row>
    <row r="1961" spans="1:36">
      <c r="A1961" s="1" t="str">
        <f>"ZA43B7E4CE"</f>
        <v>ZA43B7E4CE</v>
      </c>
      <c r="B1961" s="1" t="str">
        <f t="shared" si="45"/>
        <v>02406911202</v>
      </c>
      <c r="C1961" s="1" t="s">
        <v>13</v>
      </c>
      <c r="D1961" s="1" t="s">
        <v>1257</v>
      </c>
      <c r="E1961" s="1" t="s">
        <v>4161</v>
      </c>
      <c r="F1961" s="1" t="s">
        <v>49</v>
      </c>
      <c r="G1961" s="1" t="str">
        <f>"01900221209"</f>
        <v>01900221209</v>
      </c>
      <c r="I1961" s="1" t="s">
        <v>4162</v>
      </c>
      <c r="L1961" s="1" t="s">
        <v>44</v>
      </c>
      <c r="M1961" s="1" t="s">
        <v>930</v>
      </c>
      <c r="AG1961" s="1" t="s">
        <v>1074</v>
      </c>
      <c r="AH1961" s="2">
        <v>45086</v>
      </c>
      <c r="AI1961" s="2">
        <v>45291</v>
      </c>
      <c r="AJ1961" s="2">
        <v>45086</v>
      </c>
    </row>
    <row r="1962" spans="1:36">
      <c r="A1962" s="1" t="str">
        <f>"Z383A967FF"</f>
        <v>Z383A967FF</v>
      </c>
      <c r="B1962" s="1" t="str">
        <f t="shared" si="45"/>
        <v>02406911202</v>
      </c>
      <c r="C1962" s="1" t="s">
        <v>13</v>
      </c>
      <c r="D1962" s="1" t="s">
        <v>1253</v>
      </c>
      <c r="E1962" s="1" t="s">
        <v>1387</v>
      </c>
      <c r="F1962" s="1" t="s">
        <v>49</v>
      </c>
      <c r="G1962" s="1" t="str">
        <f>"00907371009"</f>
        <v>00907371009</v>
      </c>
      <c r="I1962" s="1" t="s">
        <v>1581</v>
      </c>
      <c r="L1962" s="1" t="s">
        <v>44</v>
      </c>
      <c r="M1962" s="1" t="s">
        <v>1255</v>
      </c>
      <c r="AG1962" s="1" t="s">
        <v>4163</v>
      </c>
      <c r="AH1962" s="2">
        <v>45015</v>
      </c>
      <c r="AI1962" s="2">
        <v>45291</v>
      </c>
      <c r="AJ1962" s="2">
        <v>45015</v>
      </c>
    </row>
    <row r="1963" spans="1:36">
      <c r="A1963" s="1" t="str">
        <f>"Z143A9E1AD"</f>
        <v>Z143A9E1AD</v>
      </c>
      <c r="B1963" s="1" t="str">
        <f t="shared" si="45"/>
        <v>02406911202</v>
      </c>
      <c r="C1963" s="1" t="s">
        <v>13</v>
      </c>
      <c r="D1963" s="1" t="s">
        <v>1257</v>
      </c>
      <c r="E1963" s="1" t="s">
        <v>4164</v>
      </c>
      <c r="F1963" s="1" t="s">
        <v>49</v>
      </c>
      <c r="G1963" s="1" t="str">
        <f>"00805390283"</f>
        <v>00805390283</v>
      </c>
      <c r="I1963" s="1" t="s">
        <v>3576</v>
      </c>
      <c r="L1963" s="1" t="s">
        <v>44</v>
      </c>
      <c r="M1963" s="1" t="s">
        <v>153</v>
      </c>
      <c r="AG1963" s="1" t="s">
        <v>4165</v>
      </c>
      <c r="AH1963" s="2">
        <v>45016</v>
      </c>
      <c r="AI1963" s="2">
        <v>45291</v>
      </c>
      <c r="AJ1963" s="2">
        <v>45016</v>
      </c>
    </row>
    <row r="1964" spans="1:36">
      <c r="A1964" s="1" t="str">
        <f>"ZDF3A9E372"</f>
        <v>ZDF3A9E372</v>
      </c>
      <c r="B1964" s="1" t="str">
        <f t="shared" si="45"/>
        <v>02406911202</v>
      </c>
      <c r="C1964" s="1" t="s">
        <v>13</v>
      </c>
      <c r="D1964" s="1" t="s">
        <v>1253</v>
      </c>
      <c r="E1964" s="1" t="s">
        <v>1254</v>
      </c>
      <c r="F1964" s="1" t="s">
        <v>49</v>
      </c>
      <c r="G1964" s="1" t="str">
        <f>"01737830230"</f>
        <v>01737830230</v>
      </c>
      <c r="I1964" s="1" t="s">
        <v>1696</v>
      </c>
      <c r="L1964" s="1" t="s">
        <v>44</v>
      </c>
      <c r="M1964" s="1" t="s">
        <v>1255</v>
      </c>
      <c r="AG1964" s="1" t="s">
        <v>4166</v>
      </c>
      <c r="AH1964" s="2">
        <v>45016</v>
      </c>
      <c r="AI1964" s="2">
        <v>45291</v>
      </c>
      <c r="AJ1964" s="2">
        <v>45016</v>
      </c>
    </row>
    <row r="1965" spans="1:36">
      <c r="A1965" s="1" t="str">
        <f>"ZDA3AAB2F0"</f>
        <v>ZDA3AAB2F0</v>
      </c>
      <c r="B1965" s="1" t="str">
        <f t="shared" si="45"/>
        <v>02406911202</v>
      </c>
      <c r="C1965" s="1" t="s">
        <v>13</v>
      </c>
      <c r="D1965" s="1" t="s">
        <v>1741</v>
      </c>
      <c r="E1965" s="1" t="s">
        <v>4167</v>
      </c>
      <c r="F1965" s="1" t="s">
        <v>49</v>
      </c>
      <c r="G1965" s="1" t="str">
        <f>"02376321200"</f>
        <v>02376321200</v>
      </c>
      <c r="I1965" s="1" t="s">
        <v>1884</v>
      </c>
      <c r="L1965" s="1" t="s">
        <v>44</v>
      </c>
      <c r="M1965" s="1" t="s">
        <v>2163</v>
      </c>
      <c r="AG1965" s="1" t="s">
        <v>2163</v>
      </c>
      <c r="AH1965" s="2">
        <v>45020</v>
      </c>
      <c r="AI1965" s="2">
        <v>45291</v>
      </c>
      <c r="AJ1965" s="2">
        <v>45020</v>
      </c>
    </row>
    <row r="1966" spans="1:36">
      <c r="A1966" s="1" t="str">
        <f>"Z2D3AD63A9"</f>
        <v>Z2D3AD63A9</v>
      </c>
      <c r="B1966" s="1" t="str">
        <f t="shared" si="45"/>
        <v>02406911202</v>
      </c>
      <c r="C1966" s="1" t="s">
        <v>13</v>
      </c>
      <c r="D1966" s="1" t="s">
        <v>1253</v>
      </c>
      <c r="E1966" s="1" t="s">
        <v>1387</v>
      </c>
      <c r="F1966" s="1" t="s">
        <v>49</v>
      </c>
      <c r="G1966" s="1" t="str">
        <f>"02707070963"</f>
        <v>02707070963</v>
      </c>
      <c r="I1966" s="1" t="s">
        <v>1675</v>
      </c>
      <c r="L1966" s="1" t="s">
        <v>44</v>
      </c>
      <c r="M1966" s="1" t="s">
        <v>1255</v>
      </c>
      <c r="AG1966" s="1" t="s">
        <v>4168</v>
      </c>
      <c r="AH1966" s="2">
        <v>45034</v>
      </c>
      <c r="AI1966" s="2">
        <v>45291</v>
      </c>
      <c r="AJ1966" s="2">
        <v>45034</v>
      </c>
    </row>
    <row r="1967" spans="1:36">
      <c r="A1967" s="1" t="str">
        <f>"Z443AF4D3B"</f>
        <v>Z443AF4D3B</v>
      </c>
      <c r="B1967" s="1" t="str">
        <f t="shared" si="45"/>
        <v>02406911202</v>
      </c>
      <c r="C1967" s="1" t="s">
        <v>13</v>
      </c>
      <c r="D1967" s="1" t="s">
        <v>1312</v>
      </c>
      <c r="E1967" s="1" t="s">
        <v>4169</v>
      </c>
      <c r="F1967" s="1" t="s">
        <v>49</v>
      </c>
      <c r="G1967" s="1" t="str">
        <f>"04156880371"</f>
        <v>04156880371</v>
      </c>
      <c r="I1967" s="1" t="s">
        <v>1307</v>
      </c>
      <c r="L1967" s="1" t="s">
        <v>44</v>
      </c>
      <c r="M1967" s="1" t="s">
        <v>1314</v>
      </c>
      <c r="AG1967" s="1" t="s">
        <v>4170</v>
      </c>
      <c r="AH1967" s="2">
        <v>45044</v>
      </c>
      <c r="AI1967" s="2">
        <v>45657</v>
      </c>
      <c r="AJ1967" s="2">
        <v>45044</v>
      </c>
    </row>
    <row r="1968" spans="1:36">
      <c r="A1968" s="1" t="str">
        <f>"9792395BFB"</f>
        <v>9792395BFB</v>
      </c>
      <c r="B1968" s="1" t="str">
        <f t="shared" si="45"/>
        <v>02406911202</v>
      </c>
      <c r="C1968" s="1" t="s">
        <v>13</v>
      </c>
      <c r="D1968" s="1" t="s">
        <v>37</v>
      </c>
      <c r="E1968" s="1" t="s">
        <v>4171</v>
      </c>
      <c r="F1968" s="1" t="s">
        <v>117</v>
      </c>
      <c r="G1968" s="1" t="str">
        <f>"11264670156"</f>
        <v>11264670156</v>
      </c>
      <c r="I1968" s="1" t="s">
        <v>64</v>
      </c>
      <c r="L1968" s="1" t="s">
        <v>44</v>
      </c>
      <c r="M1968" s="1" t="s">
        <v>524</v>
      </c>
      <c r="AG1968" s="1" t="s">
        <v>4172</v>
      </c>
      <c r="AH1968" s="2">
        <v>45051</v>
      </c>
      <c r="AI1968" s="2">
        <v>45412</v>
      </c>
      <c r="AJ1968" s="2">
        <v>45051</v>
      </c>
    </row>
    <row r="1969" spans="1:36">
      <c r="A1969" s="1" t="str">
        <f>"Z353AF5108"</f>
        <v>Z353AF5108</v>
      </c>
      <c r="B1969" s="1" t="str">
        <f t="shared" si="45"/>
        <v>02406911202</v>
      </c>
      <c r="C1969" s="1" t="s">
        <v>13</v>
      </c>
      <c r="D1969" s="1" t="s">
        <v>1253</v>
      </c>
      <c r="E1969" s="1" t="s">
        <v>1387</v>
      </c>
      <c r="F1969" s="1" t="s">
        <v>49</v>
      </c>
      <c r="G1969" s="1" t="str">
        <f>"11654150157"</f>
        <v>11654150157</v>
      </c>
      <c r="I1969" s="1" t="s">
        <v>1468</v>
      </c>
      <c r="L1969" s="1" t="s">
        <v>44</v>
      </c>
      <c r="M1969" s="1" t="s">
        <v>1255</v>
      </c>
      <c r="AG1969" s="1" t="s">
        <v>4173</v>
      </c>
      <c r="AH1969" s="2">
        <v>45044</v>
      </c>
      <c r="AI1969" s="2">
        <v>45291</v>
      </c>
      <c r="AJ1969" s="2">
        <v>45044</v>
      </c>
    </row>
    <row r="1970" spans="1:36">
      <c r="A1970" s="1" t="str">
        <f>"Z783B0E565"</f>
        <v>Z783B0E565</v>
      </c>
      <c r="B1970" s="1" t="str">
        <f t="shared" si="45"/>
        <v>02406911202</v>
      </c>
      <c r="C1970" s="1" t="s">
        <v>13</v>
      </c>
      <c r="D1970" s="1" t="s">
        <v>205</v>
      </c>
      <c r="E1970" s="1" t="s">
        <v>4174</v>
      </c>
      <c r="F1970" s="1" t="s">
        <v>49</v>
      </c>
      <c r="G1970" s="1" t="str">
        <f>"02024381200"</f>
        <v>02024381200</v>
      </c>
      <c r="I1970" s="1" t="s">
        <v>4175</v>
      </c>
      <c r="L1970" s="1" t="s">
        <v>44</v>
      </c>
      <c r="M1970" s="1" t="s">
        <v>4176</v>
      </c>
      <c r="AG1970" s="1" t="s">
        <v>4177</v>
      </c>
      <c r="AH1970" s="2">
        <v>44927</v>
      </c>
      <c r="AI1970" s="2">
        <v>45291</v>
      </c>
      <c r="AJ1970" s="2">
        <v>44927</v>
      </c>
    </row>
    <row r="1971" spans="1:36">
      <c r="A1971" s="1" t="str">
        <f>"Z843B0E6AB"</f>
        <v>Z843B0E6AB</v>
      </c>
      <c r="B1971" s="1" t="str">
        <f t="shared" si="45"/>
        <v>02406911202</v>
      </c>
      <c r="C1971" s="1" t="s">
        <v>13</v>
      </c>
      <c r="D1971" s="1" t="s">
        <v>205</v>
      </c>
      <c r="E1971" s="1" t="s">
        <v>4178</v>
      </c>
      <c r="F1971" s="1" t="s">
        <v>49</v>
      </c>
      <c r="G1971" s="1" t="str">
        <f>"04104291200"</f>
        <v>04104291200</v>
      </c>
      <c r="I1971" s="1" t="s">
        <v>4179</v>
      </c>
      <c r="L1971" s="1" t="s">
        <v>44</v>
      </c>
      <c r="M1971" s="1" t="s">
        <v>4180</v>
      </c>
      <c r="AG1971" s="1" t="s">
        <v>124</v>
      </c>
      <c r="AH1971" s="2">
        <v>44927</v>
      </c>
      <c r="AI1971" s="2">
        <v>45291</v>
      </c>
      <c r="AJ1971" s="2">
        <v>44927</v>
      </c>
    </row>
    <row r="1972" spans="1:36">
      <c r="A1972" s="1" t="str">
        <f>"Z7B3B0E72F"</f>
        <v>Z7B3B0E72F</v>
      </c>
      <c r="B1972" s="1" t="str">
        <f t="shared" si="45"/>
        <v>02406911202</v>
      </c>
      <c r="C1972" s="1" t="s">
        <v>13</v>
      </c>
      <c r="D1972" s="1" t="s">
        <v>205</v>
      </c>
      <c r="E1972" s="1" t="s">
        <v>4181</v>
      </c>
      <c r="F1972" s="1" t="s">
        <v>49</v>
      </c>
      <c r="G1972" s="1" t="str">
        <f>"02312821206"</f>
        <v>02312821206</v>
      </c>
      <c r="I1972" s="1" t="s">
        <v>4182</v>
      </c>
      <c r="L1972" s="1" t="s">
        <v>44</v>
      </c>
      <c r="M1972" s="1" t="s">
        <v>4183</v>
      </c>
      <c r="AG1972" s="1" t="s">
        <v>4184</v>
      </c>
      <c r="AH1972" s="2">
        <v>44927</v>
      </c>
      <c r="AI1972" s="2">
        <v>45291</v>
      </c>
      <c r="AJ1972" s="2">
        <v>44927</v>
      </c>
    </row>
    <row r="1973" spans="1:36">
      <c r="A1973" s="1" t="str">
        <f>"Z113B0E9FD"</f>
        <v>Z113B0E9FD</v>
      </c>
      <c r="B1973" s="1" t="str">
        <f t="shared" si="45"/>
        <v>02406911202</v>
      </c>
      <c r="C1973" s="1" t="s">
        <v>13</v>
      </c>
      <c r="D1973" s="1" t="s">
        <v>205</v>
      </c>
      <c r="E1973" s="1" t="s">
        <v>4185</v>
      </c>
      <c r="F1973" s="1" t="s">
        <v>49</v>
      </c>
      <c r="G1973" s="1" t="str">
        <f>"02883801207"</f>
        <v>02883801207</v>
      </c>
      <c r="I1973" s="1" t="s">
        <v>4186</v>
      </c>
      <c r="L1973" s="1" t="s">
        <v>44</v>
      </c>
      <c r="M1973" s="1" t="s">
        <v>4187</v>
      </c>
      <c r="AG1973" s="1" t="s">
        <v>4188</v>
      </c>
      <c r="AH1973" s="2">
        <v>44927</v>
      </c>
      <c r="AI1973" s="2">
        <v>45291</v>
      </c>
      <c r="AJ1973" s="2">
        <v>44927</v>
      </c>
    </row>
    <row r="1974" spans="1:36">
      <c r="A1974" s="1" t="str">
        <f>"Z813B0EAC3"</f>
        <v>Z813B0EAC3</v>
      </c>
      <c r="B1974" s="1" t="str">
        <f t="shared" si="45"/>
        <v>02406911202</v>
      </c>
      <c r="C1974" s="1" t="s">
        <v>13</v>
      </c>
      <c r="D1974" s="1" t="s">
        <v>205</v>
      </c>
      <c r="E1974" s="1" t="s">
        <v>4189</v>
      </c>
      <c r="F1974" s="1" t="s">
        <v>49</v>
      </c>
      <c r="G1974" s="1" t="str">
        <f>"02202731200"</f>
        <v>02202731200</v>
      </c>
      <c r="I1974" s="1" t="s">
        <v>4190</v>
      </c>
      <c r="L1974" s="1" t="s">
        <v>44</v>
      </c>
      <c r="M1974" s="1" t="s">
        <v>4191</v>
      </c>
      <c r="AG1974" s="1" t="s">
        <v>124</v>
      </c>
      <c r="AH1974" s="2">
        <v>44927</v>
      </c>
      <c r="AI1974" s="2">
        <v>45291</v>
      </c>
      <c r="AJ1974" s="2">
        <v>44927</v>
      </c>
    </row>
    <row r="1975" spans="1:36">
      <c r="A1975" s="1" t="str">
        <f>"ZC53B0EB71"</f>
        <v>ZC53B0EB71</v>
      </c>
      <c r="B1975" s="1" t="str">
        <f t="shared" si="45"/>
        <v>02406911202</v>
      </c>
      <c r="C1975" s="1" t="s">
        <v>13</v>
      </c>
      <c r="D1975" s="1" t="s">
        <v>205</v>
      </c>
      <c r="E1975" s="1" t="s">
        <v>4192</v>
      </c>
      <c r="F1975" s="1" t="s">
        <v>49</v>
      </c>
      <c r="G1975" s="1" t="str">
        <f>"02404841203"</f>
        <v>02404841203</v>
      </c>
      <c r="I1975" s="1" t="s">
        <v>4193</v>
      </c>
      <c r="L1975" s="1" t="s">
        <v>44</v>
      </c>
      <c r="M1975" s="1" t="s">
        <v>2880</v>
      </c>
      <c r="AG1975" s="1" t="s">
        <v>4194</v>
      </c>
      <c r="AH1975" s="2">
        <v>44927</v>
      </c>
      <c r="AI1975" s="2">
        <v>45291</v>
      </c>
      <c r="AJ1975" s="2">
        <v>44927</v>
      </c>
    </row>
    <row r="1976" spans="1:36">
      <c r="A1976" s="1" t="str">
        <f>"Z9B3B0ECDE"</f>
        <v>Z9B3B0ECDE</v>
      </c>
      <c r="B1976" s="1" t="str">
        <f t="shared" si="45"/>
        <v>02406911202</v>
      </c>
      <c r="C1976" s="1" t="s">
        <v>13</v>
      </c>
      <c r="D1976" s="1" t="s">
        <v>205</v>
      </c>
      <c r="E1976" s="1" t="s">
        <v>4195</v>
      </c>
      <c r="F1976" s="1" t="s">
        <v>49</v>
      </c>
      <c r="G1976" s="1" t="str">
        <f>"01744591205"</f>
        <v>01744591205</v>
      </c>
      <c r="I1976" s="1" t="s">
        <v>4196</v>
      </c>
      <c r="L1976" s="1" t="s">
        <v>44</v>
      </c>
      <c r="M1976" s="1" t="s">
        <v>4197</v>
      </c>
      <c r="AG1976" s="1" t="s">
        <v>4198</v>
      </c>
      <c r="AH1976" s="2">
        <v>44927</v>
      </c>
      <c r="AI1976" s="2">
        <v>45291</v>
      </c>
      <c r="AJ1976" s="2">
        <v>44927</v>
      </c>
    </row>
    <row r="1977" spans="1:36">
      <c r="A1977" s="1" t="str">
        <f>"ZEC3B134B4"</f>
        <v>ZEC3B134B4</v>
      </c>
      <c r="B1977" s="1" t="str">
        <f t="shared" si="45"/>
        <v>02406911202</v>
      </c>
      <c r="C1977" s="1" t="s">
        <v>13</v>
      </c>
      <c r="D1977" s="1" t="s">
        <v>205</v>
      </c>
      <c r="E1977" s="1" t="s">
        <v>4199</v>
      </c>
      <c r="F1977" s="1" t="s">
        <v>49</v>
      </c>
      <c r="G1977" s="1" t="str">
        <f>"02890611201"</f>
        <v>02890611201</v>
      </c>
      <c r="I1977" s="1" t="s">
        <v>4200</v>
      </c>
      <c r="L1977" s="1" t="s">
        <v>44</v>
      </c>
      <c r="M1977" s="1" t="s">
        <v>4201</v>
      </c>
      <c r="AG1977" s="1" t="s">
        <v>4202</v>
      </c>
      <c r="AH1977" s="2">
        <v>44927</v>
      </c>
      <c r="AI1977" s="2">
        <v>45291</v>
      </c>
      <c r="AJ1977" s="2">
        <v>44927</v>
      </c>
    </row>
    <row r="1978" spans="1:36">
      <c r="A1978" s="1" t="str">
        <f>"ZE13B136A4"</f>
        <v>ZE13B136A4</v>
      </c>
      <c r="B1978" s="1" t="str">
        <f t="shared" si="45"/>
        <v>02406911202</v>
      </c>
      <c r="C1978" s="1" t="s">
        <v>13</v>
      </c>
      <c r="D1978" s="1" t="s">
        <v>205</v>
      </c>
      <c r="E1978" s="1" t="s">
        <v>4203</v>
      </c>
      <c r="F1978" s="1" t="s">
        <v>49</v>
      </c>
      <c r="G1978" s="1" t="str">
        <f>"03014861201"</f>
        <v>03014861201</v>
      </c>
      <c r="I1978" s="1" t="s">
        <v>4204</v>
      </c>
      <c r="L1978" s="1" t="s">
        <v>44</v>
      </c>
      <c r="M1978" s="1" t="s">
        <v>4205</v>
      </c>
      <c r="AG1978" s="1" t="s">
        <v>4206</v>
      </c>
      <c r="AH1978" s="2">
        <v>44927</v>
      </c>
      <c r="AI1978" s="2">
        <v>45291</v>
      </c>
      <c r="AJ1978" s="2">
        <v>44927</v>
      </c>
    </row>
    <row r="1979" spans="1:36">
      <c r="A1979" s="1" t="str">
        <f>"ZA23B1F294"</f>
        <v>ZA23B1F294</v>
      </c>
      <c r="B1979" s="1" t="str">
        <f t="shared" si="45"/>
        <v>02406911202</v>
      </c>
      <c r="C1979" s="1" t="s">
        <v>13</v>
      </c>
      <c r="D1979" s="1" t="s">
        <v>1253</v>
      </c>
      <c r="E1979" s="1" t="s">
        <v>1270</v>
      </c>
      <c r="F1979" s="1" t="s">
        <v>49</v>
      </c>
      <c r="G1979" s="1" t="str">
        <f>"12792100153"</f>
        <v>12792100153</v>
      </c>
      <c r="I1979" s="1" t="s">
        <v>803</v>
      </c>
      <c r="L1979" s="1" t="s">
        <v>44</v>
      </c>
      <c r="M1979" s="1" t="s">
        <v>1255</v>
      </c>
      <c r="AG1979" s="1" t="s">
        <v>4207</v>
      </c>
      <c r="AH1979" s="2">
        <v>45058</v>
      </c>
      <c r="AI1979" s="2">
        <v>45291</v>
      </c>
      <c r="AJ1979" s="2">
        <v>45058</v>
      </c>
    </row>
    <row r="1980" spans="1:36">
      <c r="A1980" s="1" t="str">
        <f t="shared" ref="A1980:A1986" si="46">"ZAA3B2E00C"</f>
        <v>ZAA3B2E00C</v>
      </c>
      <c r="B1980" s="1" t="str">
        <f t="shared" si="45"/>
        <v>02406911202</v>
      </c>
      <c r="C1980" s="1" t="s">
        <v>13</v>
      </c>
      <c r="D1980" s="1" t="s">
        <v>1741</v>
      </c>
      <c r="E1980" s="1" t="s">
        <v>4208</v>
      </c>
      <c r="F1980" s="1" t="s">
        <v>39</v>
      </c>
      <c r="G1980" s="1" t="str">
        <f>"01486330309"</f>
        <v>01486330309</v>
      </c>
      <c r="I1980" s="1" t="s">
        <v>2134</v>
      </c>
      <c r="L1980" s="1" t="s">
        <v>44</v>
      </c>
      <c r="M1980" s="1" t="s">
        <v>4209</v>
      </c>
      <c r="AG1980" s="1" t="s">
        <v>4209</v>
      </c>
      <c r="AH1980" s="2">
        <v>45062</v>
      </c>
      <c r="AI1980" s="2">
        <v>45291</v>
      </c>
      <c r="AJ1980" s="2">
        <v>45062</v>
      </c>
    </row>
    <row r="1981" spans="1:36">
      <c r="A1981" s="1" t="str">
        <f t="shared" si="46"/>
        <v>ZAA3B2E00C</v>
      </c>
      <c r="B1981" s="1" t="str">
        <f t="shared" si="45"/>
        <v>02406911202</v>
      </c>
      <c r="C1981" s="1" t="s">
        <v>13</v>
      </c>
      <c r="D1981" s="1" t="s">
        <v>1741</v>
      </c>
      <c r="E1981" s="1" t="s">
        <v>4208</v>
      </c>
      <c r="F1981" s="1" t="s">
        <v>39</v>
      </c>
      <c r="G1981" s="1" t="str">
        <f>"03359340837"</f>
        <v>03359340837</v>
      </c>
      <c r="I1981" s="1" t="s">
        <v>1881</v>
      </c>
      <c r="L1981" s="1" t="s">
        <v>41</v>
      </c>
      <c r="AJ1981" s="2">
        <v>45062</v>
      </c>
    </row>
    <row r="1982" spans="1:36">
      <c r="A1982" s="1" t="str">
        <f t="shared" si="46"/>
        <v>ZAA3B2E00C</v>
      </c>
      <c r="B1982" s="1" t="str">
        <f t="shared" si="45"/>
        <v>02406911202</v>
      </c>
      <c r="C1982" s="1" t="s">
        <v>13</v>
      </c>
      <c r="D1982" s="1" t="s">
        <v>1741</v>
      </c>
      <c r="E1982" s="1" t="s">
        <v>4208</v>
      </c>
      <c r="F1982" s="1" t="s">
        <v>39</v>
      </c>
      <c r="G1982" s="1" t="str">
        <f>"02138390360"</f>
        <v>02138390360</v>
      </c>
      <c r="I1982" s="1" t="s">
        <v>1879</v>
      </c>
      <c r="L1982" s="1" t="s">
        <v>41</v>
      </c>
      <c r="AJ1982" s="2">
        <v>45062</v>
      </c>
    </row>
    <row r="1983" spans="1:36">
      <c r="A1983" s="1" t="str">
        <f t="shared" si="46"/>
        <v>ZAA3B2E00C</v>
      </c>
      <c r="B1983" s="1" t="str">
        <f t="shared" si="45"/>
        <v>02406911202</v>
      </c>
      <c r="C1983" s="1" t="s">
        <v>13</v>
      </c>
      <c r="D1983" s="1" t="s">
        <v>1741</v>
      </c>
      <c r="E1983" s="1" t="s">
        <v>4208</v>
      </c>
      <c r="F1983" s="1" t="s">
        <v>39</v>
      </c>
      <c r="G1983" s="1" t="str">
        <f>"01813500541"</f>
        <v>01813500541</v>
      </c>
      <c r="I1983" s="1" t="s">
        <v>2137</v>
      </c>
      <c r="L1983" s="1" t="s">
        <v>41</v>
      </c>
      <c r="AJ1983" s="2">
        <v>45062</v>
      </c>
    </row>
    <row r="1984" spans="1:36">
      <c r="A1984" s="1" t="str">
        <f t="shared" si="46"/>
        <v>ZAA3B2E00C</v>
      </c>
      <c r="B1984" s="1" t="str">
        <f t="shared" si="45"/>
        <v>02406911202</v>
      </c>
      <c r="C1984" s="1" t="s">
        <v>13</v>
      </c>
      <c r="D1984" s="1" t="s">
        <v>1741</v>
      </c>
      <c r="E1984" s="1" t="s">
        <v>4208</v>
      </c>
      <c r="F1984" s="1" t="s">
        <v>39</v>
      </c>
      <c r="G1984" s="1" t="str">
        <f>"00740430335"</f>
        <v>00740430335</v>
      </c>
      <c r="I1984" s="1" t="s">
        <v>1888</v>
      </c>
      <c r="L1984" s="1" t="s">
        <v>41</v>
      </c>
      <c r="AJ1984" s="2">
        <v>45062</v>
      </c>
    </row>
    <row r="1985" spans="1:36">
      <c r="A1985" s="1" t="str">
        <f t="shared" si="46"/>
        <v>ZAA3B2E00C</v>
      </c>
      <c r="B1985" s="1" t="str">
        <f t="shared" si="45"/>
        <v>02406911202</v>
      </c>
      <c r="C1985" s="1" t="s">
        <v>13</v>
      </c>
      <c r="D1985" s="1" t="s">
        <v>1741</v>
      </c>
      <c r="E1985" s="1" t="s">
        <v>4208</v>
      </c>
      <c r="F1985" s="1" t="s">
        <v>39</v>
      </c>
      <c r="G1985" s="1" t="str">
        <f>"02252270398"</f>
        <v>02252270398</v>
      </c>
      <c r="I1985" s="1" t="s">
        <v>2132</v>
      </c>
      <c r="L1985" s="1" t="s">
        <v>41</v>
      </c>
      <c r="AJ1985" s="2">
        <v>45062</v>
      </c>
    </row>
    <row r="1986" spans="1:36">
      <c r="A1986" s="1" t="str">
        <f t="shared" si="46"/>
        <v>ZAA3B2E00C</v>
      </c>
      <c r="B1986" s="1" t="str">
        <f t="shared" si="45"/>
        <v>02406911202</v>
      </c>
      <c r="C1986" s="1" t="s">
        <v>13</v>
      </c>
      <c r="D1986" s="1" t="s">
        <v>1741</v>
      </c>
      <c r="E1986" s="1" t="s">
        <v>4208</v>
      </c>
      <c r="F1986" s="1" t="s">
        <v>39</v>
      </c>
      <c r="G1986" s="1" t="str">
        <f>"04427081007"</f>
        <v>04427081007</v>
      </c>
      <c r="I1986" s="1" t="s">
        <v>2135</v>
      </c>
      <c r="L1986" s="1" t="s">
        <v>41</v>
      </c>
      <c r="AJ1986" s="2">
        <v>45062</v>
      </c>
    </row>
    <row r="1987" spans="1:36">
      <c r="A1987" s="1" t="str">
        <f>"98841144E7"</f>
        <v>98841144E7</v>
      </c>
      <c r="B1987" s="1" t="str">
        <f t="shared" si="45"/>
        <v>02406911202</v>
      </c>
      <c r="C1987" s="1" t="s">
        <v>13</v>
      </c>
      <c r="D1987" s="1" t="s">
        <v>37</v>
      </c>
      <c r="E1987" s="1" t="s">
        <v>4210</v>
      </c>
      <c r="F1987" s="1" t="s">
        <v>117</v>
      </c>
      <c r="G1987" s="1" t="str">
        <f>"02518990284"</f>
        <v>02518990284</v>
      </c>
      <c r="I1987" s="1" t="s">
        <v>4211</v>
      </c>
      <c r="L1987" s="1" t="s">
        <v>44</v>
      </c>
      <c r="M1987" s="1" t="s">
        <v>4212</v>
      </c>
      <c r="AG1987" s="1" t="s">
        <v>124</v>
      </c>
      <c r="AH1987" s="2">
        <v>45092</v>
      </c>
      <c r="AI1987" s="2">
        <v>45820</v>
      </c>
      <c r="AJ1987" s="2">
        <v>45092</v>
      </c>
    </row>
    <row r="1988" spans="1:36">
      <c r="A1988" s="1" t="str">
        <f>"98878049FB"</f>
        <v>98878049FB</v>
      </c>
      <c r="B1988" s="1" t="str">
        <f t="shared" si="45"/>
        <v>02406911202</v>
      </c>
      <c r="C1988" s="1" t="s">
        <v>13</v>
      </c>
      <c r="D1988" s="1" t="s">
        <v>37</v>
      </c>
      <c r="E1988" s="1" t="s">
        <v>4213</v>
      </c>
      <c r="F1988" s="1" t="s">
        <v>117</v>
      </c>
      <c r="G1988" s="1" t="str">
        <f>"01857820284"</f>
        <v>01857820284</v>
      </c>
      <c r="I1988" s="1" t="s">
        <v>674</v>
      </c>
      <c r="L1988" s="1" t="s">
        <v>44</v>
      </c>
      <c r="M1988" s="1" t="s">
        <v>4214</v>
      </c>
      <c r="AG1988" s="1" t="s">
        <v>124</v>
      </c>
      <c r="AH1988" s="2">
        <v>45092</v>
      </c>
      <c r="AI1988" s="2">
        <v>45819</v>
      </c>
      <c r="AJ1988" s="2">
        <v>45092</v>
      </c>
    </row>
    <row r="1989" spans="1:36">
      <c r="A1989" s="1" t="str">
        <f>"ZAA3B91C40"</f>
        <v>ZAA3B91C40</v>
      </c>
      <c r="B1989" s="1" t="str">
        <f t="shared" si="45"/>
        <v>02406911202</v>
      </c>
      <c r="C1989" s="1" t="s">
        <v>13</v>
      </c>
      <c r="D1989" s="1" t="s">
        <v>1253</v>
      </c>
      <c r="E1989" s="1" t="s">
        <v>1260</v>
      </c>
      <c r="F1989" s="1" t="s">
        <v>49</v>
      </c>
      <c r="G1989" s="1" t="str">
        <f>"10517560156"</f>
        <v>10517560156</v>
      </c>
      <c r="I1989" s="1" t="s">
        <v>4215</v>
      </c>
      <c r="L1989" s="1" t="s">
        <v>44</v>
      </c>
      <c r="M1989" s="1" t="s">
        <v>1255</v>
      </c>
      <c r="AG1989" s="1" t="s">
        <v>4216</v>
      </c>
      <c r="AH1989" s="2">
        <v>45092</v>
      </c>
      <c r="AI1989" s="2">
        <v>45291</v>
      </c>
      <c r="AJ1989" s="2">
        <v>45092</v>
      </c>
    </row>
    <row r="1990" spans="1:36">
      <c r="A1990" s="1" t="str">
        <f>"Z573B95742"</f>
        <v>Z573B95742</v>
      </c>
      <c r="B1990" s="1" t="str">
        <f t="shared" ref="B1990:B2053" si="47">"02406911202"</f>
        <v>02406911202</v>
      </c>
      <c r="C1990" s="1" t="s">
        <v>13</v>
      </c>
      <c r="D1990" s="1" t="s">
        <v>1253</v>
      </c>
      <c r="E1990" s="1" t="s">
        <v>1387</v>
      </c>
      <c r="F1990" s="1" t="s">
        <v>49</v>
      </c>
      <c r="G1990" s="1" t="str">
        <f>"00674840152"</f>
        <v>00674840152</v>
      </c>
      <c r="I1990" s="1" t="s">
        <v>190</v>
      </c>
      <c r="L1990" s="1" t="s">
        <v>44</v>
      </c>
      <c r="M1990" s="1" t="s">
        <v>1255</v>
      </c>
      <c r="AG1990" s="1" t="s">
        <v>4217</v>
      </c>
      <c r="AH1990" s="2">
        <v>45093</v>
      </c>
      <c r="AI1990" s="2">
        <v>45291</v>
      </c>
      <c r="AJ1990" s="2">
        <v>45093</v>
      </c>
    </row>
    <row r="1991" spans="1:36">
      <c r="A1991" s="1" t="str">
        <f>"Z2A3B95CC7"</f>
        <v>Z2A3B95CC7</v>
      </c>
      <c r="B1991" s="1" t="str">
        <f t="shared" si="47"/>
        <v>02406911202</v>
      </c>
      <c r="C1991" s="1" t="s">
        <v>13</v>
      </c>
      <c r="D1991" s="1" t="s">
        <v>1253</v>
      </c>
      <c r="E1991" s="1" t="s">
        <v>1254</v>
      </c>
      <c r="F1991" s="1" t="s">
        <v>49</v>
      </c>
      <c r="G1991" s="1" t="str">
        <f>"02823921206"</f>
        <v>02823921206</v>
      </c>
      <c r="I1991" s="1" t="s">
        <v>4218</v>
      </c>
      <c r="L1991" s="1" t="s">
        <v>44</v>
      </c>
      <c r="M1991" s="1" t="s">
        <v>1255</v>
      </c>
      <c r="AG1991" s="1" t="s">
        <v>4219</v>
      </c>
      <c r="AH1991" s="2">
        <v>45093</v>
      </c>
      <c r="AI1991" s="2">
        <v>45291</v>
      </c>
      <c r="AJ1991" s="2">
        <v>45093</v>
      </c>
    </row>
    <row r="1992" spans="1:36">
      <c r="A1992" s="1" t="str">
        <f>"Z583ACB6EC"</f>
        <v>Z583ACB6EC</v>
      </c>
      <c r="B1992" s="1" t="str">
        <f t="shared" si="47"/>
        <v>02406911202</v>
      </c>
      <c r="C1992" s="1" t="s">
        <v>13</v>
      </c>
      <c r="D1992" s="1" t="s">
        <v>1312</v>
      </c>
      <c r="E1992" s="1" t="s">
        <v>4220</v>
      </c>
      <c r="F1992" s="1" t="s">
        <v>49</v>
      </c>
      <c r="G1992" s="1" t="str">
        <f>"01703181204"</f>
        <v>01703181204</v>
      </c>
      <c r="I1992" s="1" t="s">
        <v>2750</v>
      </c>
      <c r="L1992" s="1" t="s">
        <v>44</v>
      </c>
      <c r="M1992" s="1" t="s">
        <v>1735</v>
      </c>
      <c r="AG1992" s="1" t="s">
        <v>4221</v>
      </c>
      <c r="AH1992" s="2">
        <v>45030</v>
      </c>
      <c r="AI1992" s="2">
        <v>45291</v>
      </c>
      <c r="AJ1992" s="2">
        <v>45030</v>
      </c>
    </row>
    <row r="1993" spans="1:36">
      <c r="A1993" s="1" t="str">
        <f>"9713371F4F"</f>
        <v>9713371F4F</v>
      </c>
      <c r="B1993" s="1" t="str">
        <f t="shared" si="47"/>
        <v>02406911202</v>
      </c>
      <c r="C1993" s="1" t="s">
        <v>13</v>
      </c>
      <c r="D1993" s="1" t="s">
        <v>1312</v>
      </c>
      <c r="E1993" s="1" t="s">
        <v>4222</v>
      </c>
      <c r="F1993" s="1" t="s">
        <v>49</v>
      </c>
      <c r="G1993" s="1" t="str">
        <f>"01630000287"</f>
        <v>01630000287</v>
      </c>
      <c r="I1993" s="1" t="s">
        <v>1470</v>
      </c>
      <c r="L1993" s="1" t="s">
        <v>44</v>
      </c>
      <c r="M1993" s="1" t="s">
        <v>4223</v>
      </c>
      <c r="AG1993" s="1" t="s">
        <v>4224</v>
      </c>
      <c r="AH1993" s="2">
        <v>45030</v>
      </c>
      <c r="AI1993" s="2">
        <v>45565</v>
      </c>
      <c r="AJ1993" s="2">
        <v>45030</v>
      </c>
    </row>
    <row r="1994" spans="1:36">
      <c r="A1994" s="1" t="str">
        <f>"ZA03ADAEC7"</f>
        <v>ZA03ADAEC7</v>
      </c>
      <c r="B1994" s="1" t="str">
        <f t="shared" si="47"/>
        <v>02406911202</v>
      </c>
      <c r="C1994" s="1" t="s">
        <v>13</v>
      </c>
      <c r="D1994" s="1" t="s">
        <v>1253</v>
      </c>
      <c r="E1994" s="1" t="s">
        <v>1254</v>
      </c>
      <c r="F1994" s="1" t="s">
        <v>49</v>
      </c>
      <c r="G1994" s="1" t="str">
        <f>"05896100962"</f>
        <v>05896100962</v>
      </c>
      <c r="I1994" s="1" t="s">
        <v>1413</v>
      </c>
      <c r="L1994" s="1" t="s">
        <v>44</v>
      </c>
      <c r="M1994" s="1" t="s">
        <v>1255</v>
      </c>
      <c r="AG1994" s="1" t="s">
        <v>1475</v>
      </c>
      <c r="AH1994" s="2">
        <v>45037</v>
      </c>
      <c r="AI1994" s="2">
        <v>45291</v>
      </c>
      <c r="AJ1994" s="2">
        <v>45037</v>
      </c>
    </row>
    <row r="1995" spans="1:36">
      <c r="A1995" s="1" t="str">
        <f>"Z663AD5E6F"</f>
        <v>Z663AD5E6F</v>
      </c>
      <c r="B1995" s="1" t="str">
        <f t="shared" si="47"/>
        <v>02406911202</v>
      </c>
      <c r="C1995" s="1" t="s">
        <v>13</v>
      </c>
      <c r="D1995" s="1" t="s">
        <v>1253</v>
      </c>
      <c r="E1995" s="1" t="s">
        <v>1317</v>
      </c>
      <c r="F1995" s="1" t="s">
        <v>49</v>
      </c>
      <c r="G1995" s="1" t="str">
        <f>"07220700962"</f>
        <v>07220700962</v>
      </c>
      <c r="I1995" s="1" t="s">
        <v>4225</v>
      </c>
      <c r="L1995" s="1" t="s">
        <v>44</v>
      </c>
      <c r="M1995" s="1" t="s">
        <v>1255</v>
      </c>
      <c r="AG1995" s="1" t="s">
        <v>4226</v>
      </c>
      <c r="AH1995" s="2">
        <v>45002</v>
      </c>
      <c r="AI1995" s="2">
        <v>45291</v>
      </c>
      <c r="AJ1995" s="2">
        <v>45002</v>
      </c>
    </row>
    <row r="1996" spans="1:36">
      <c r="A1996" s="1" t="str">
        <f>"9644369113"</f>
        <v>9644369113</v>
      </c>
      <c r="B1996" s="1" t="str">
        <f t="shared" si="47"/>
        <v>02406911202</v>
      </c>
      <c r="C1996" s="1" t="s">
        <v>13</v>
      </c>
      <c r="D1996" s="1" t="s">
        <v>37</v>
      </c>
      <c r="E1996" s="1" t="s">
        <v>4227</v>
      </c>
      <c r="F1996" s="1" t="s">
        <v>39</v>
      </c>
      <c r="G1996" s="1" t="str">
        <f>"01854280367"</f>
        <v>01854280367</v>
      </c>
      <c r="I1996" s="1" t="s">
        <v>4228</v>
      </c>
      <c r="L1996" s="1" t="s">
        <v>44</v>
      </c>
      <c r="M1996" s="1" t="s">
        <v>4229</v>
      </c>
      <c r="AG1996" s="1" t="s">
        <v>124</v>
      </c>
      <c r="AH1996" s="2">
        <v>45079</v>
      </c>
      <c r="AI1996" s="2">
        <v>45291</v>
      </c>
      <c r="AJ1996" s="2">
        <v>45079</v>
      </c>
    </row>
    <row r="1997" spans="1:36">
      <c r="A1997" s="1" t="str">
        <f>"Z893B1151E"</f>
        <v>Z893B1151E</v>
      </c>
      <c r="B1997" s="1" t="str">
        <f t="shared" si="47"/>
        <v>02406911202</v>
      </c>
      <c r="C1997" s="1" t="s">
        <v>13</v>
      </c>
      <c r="D1997" s="1" t="s">
        <v>205</v>
      </c>
      <c r="E1997" s="1" t="s">
        <v>4230</v>
      </c>
      <c r="F1997" s="1" t="s">
        <v>49</v>
      </c>
      <c r="G1997" s="1" t="str">
        <f>"02552610376"</f>
        <v>02552610376</v>
      </c>
      <c r="I1997" s="1" t="s">
        <v>4231</v>
      </c>
      <c r="L1997" s="1" t="s">
        <v>44</v>
      </c>
      <c r="M1997" s="1" t="s">
        <v>4232</v>
      </c>
      <c r="AG1997" s="1" t="s">
        <v>124</v>
      </c>
      <c r="AH1997" s="2">
        <v>44927</v>
      </c>
      <c r="AI1997" s="2">
        <v>45291</v>
      </c>
      <c r="AJ1997" s="2">
        <v>44927</v>
      </c>
    </row>
    <row r="1998" spans="1:36">
      <c r="A1998" s="1" t="str">
        <f>"ZE03B7FDCD"</f>
        <v>ZE03B7FDCD</v>
      </c>
      <c r="B1998" s="1" t="str">
        <f t="shared" si="47"/>
        <v>02406911202</v>
      </c>
      <c r="C1998" s="1" t="s">
        <v>13</v>
      </c>
      <c r="D1998" s="1" t="s">
        <v>1253</v>
      </c>
      <c r="E1998" s="1" t="s">
        <v>1254</v>
      </c>
      <c r="F1998" s="1" t="s">
        <v>49</v>
      </c>
      <c r="G1998" s="1" t="str">
        <f>"03698030289"</f>
        <v>03698030289</v>
      </c>
      <c r="I1998" s="1" t="s">
        <v>4233</v>
      </c>
      <c r="L1998" s="1" t="s">
        <v>44</v>
      </c>
      <c r="M1998" s="1" t="s">
        <v>1255</v>
      </c>
      <c r="AG1998" s="1" t="s">
        <v>124</v>
      </c>
      <c r="AH1998" s="2">
        <v>45089</v>
      </c>
      <c r="AI1998" s="2">
        <v>45291</v>
      </c>
      <c r="AJ1998" s="2">
        <v>45089</v>
      </c>
    </row>
    <row r="1999" spans="1:36">
      <c r="A1999" s="1" t="str">
        <f>"98446985CA"</f>
        <v>98446985CA</v>
      </c>
      <c r="B1999" s="1" t="str">
        <f t="shared" si="47"/>
        <v>02406911202</v>
      </c>
      <c r="C1999" s="1" t="s">
        <v>13</v>
      </c>
      <c r="D1999" s="1" t="s">
        <v>1312</v>
      </c>
      <c r="E1999" s="1" t="s">
        <v>4234</v>
      </c>
      <c r="F1999" s="1" t="s">
        <v>49</v>
      </c>
      <c r="G1999" s="1" t="str">
        <f>"03960230377"</f>
        <v>03960230377</v>
      </c>
      <c r="I1999" s="1" t="s">
        <v>4235</v>
      </c>
      <c r="L1999" s="1" t="s">
        <v>44</v>
      </c>
      <c r="M1999" s="1" t="s">
        <v>4236</v>
      </c>
      <c r="AG1999" s="1" t="s">
        <v>4237</v>
      </c>
      <c r="AH1999" s="2">
        <v>45086</v>
      </c>
      <c r="AI1999" s="2">
        <v>45454</v>
      </c>
      <c r="AJ1999" s="2">
        <v>45086</v>
      </c>
    </row>
    <row r="2000" spans="1:36">
      <c r="A2000" s="1" t="str">
        <f>"Z0A3B7FC02"</f>
        <v>Z0A3B7FC02</v>
      </c>
      <c r="B2000" s="1" t="str">
        <f t="shared" si="47"/>
        <v>02406911202</v>
      </c>
      <c r="C2000" s="1" t="s">
        <v>13</v>
      </c>
      <c r="D2000" s="1" t="s">
        <v>1253</v>
      </c>
      <c r="E2000" s="1" t="s">
        <v>1254</v>
      </c>
      <c r="F2000" s="1" t="s">
        <v>49</v>
      </c>
      <c r="G2000" s="1" t="str">
        <f>"06349620960"</f>
        <v>06349620960</v>
      </c>
      <c r="I2000" s="1" t="s">
        <v>2679</v>
      </c>
      <c r="L2000" s="1" t="s">
        <v>44</v>
      </c>
      <c r="M2000" s="1" t="s">
        <v>1255</v>
      </c>
      <c r="AG2000" s="1" t="s">
        <v>1491</v>
      </c>
      <c r="AH2000" s="2">
        <v>45086</v>
      </c>
      <c r="AI2000" s="2">
        <v>45291</v>
      </c>
      <c r="AJ2000" s="2">
        <v>45086</v>
      </c>
    </row>
    <row r="2001" spans="1:36">
      <c r="A2001" s="1" t="str">
        <f>"Z8D3B7FC05"</f>
        <v>Z8D3B7FC05</v>
      </c>
      <c r="B2001" s="1" t="str">
        <f t="shared" si="47"/>
        <v>02406911202</v>
      </c>
      <c r="C2001" s="1" t="s">
        <v>13</v>
      </c>
      <c r="D2001" s="1" t="s">
        <v>1253</v>
      </c>
      <c r="E2001" s="1" t="s">
        <v>1254</v>
      </c>
      <c r="F2001" s="1" t="s">
        <v>49</v>
      </c>
      <c r="G2001" s="1" t="str">
        <f>"03260081207"</f>
        <v>03260081207</v>
      </c>
      <c r="I2001" s="1" t="s">
        <v>1653</v>
      </c>
      <c r="L2001" s="1" t="s">
        <v>44</v>
      </c>
      <c r="M2001" s="1" t="s">
        <v>1255</v>
      </c>
      <c r="AG2001" s="1" t="s">
        <v>2144</v>
      </c>
      <c r="AH2001" s="2">
        <v>45086</v>
      </c>
      <c r="AI2001" s="2">
        <v>45291</v>
      </c>
      <c r="AJ2001" s="2">
        <v>45086</v>
      </c>
    </row>
    <row r="2002" spans="1:36">
      <c r="A2002" s="1" t="str">
        <f>"9864814E07"</f>
        <v>9864814E07</v>
      </c>
      <c r="B2002" s="1" t="str">
        <f t="shared" si="47"/>
        <v>02406911202</v>
      </c>
      <c r="C2002" s="1" t="s">
        <v>13</v>
      </c>
      <c r="D2002" s="1" t="s">
        <v>37</v>
      </c>
      <c r="E2002" s="1" t="s">
        <v>4238</v>
      </c>
      <c r="F2002" s="1" t="s">
        <v>39</v>
      </c>
      <c r="G2002" s="1" t="str">
        <f>"06032681006"</f>
        <v>06032681006</v>
      </c>
      <c r="I2002" s="1" t="s">
        <v>1351</v>
      </c>
      <c r="L2002" s="1" t="s">
        <v>44</v>
      </c>
      <c r="M2002" s="1" t="s">
        <v>662</v>
      </c>
      <c r="AG2002" s="1" t="s">
        <v>124</v>
      </c>
      <c r="AH2002" s="2">
        <v>45084</v>
      </c>
      <c r="AI2002" s="2">
        <v>45449</v>
      </c>
      <c r="AJ2002" s="2">
        <v>45084</v>
      </c>
    </row>
    <row r="2003" spans="1:36">
      <c r="A2003" s="1" t="str">
        <f>"Z753B80B1F"</f>
        <v>Z753B80B1F</v>
      </c>
      <c r="B2003" s="1" t="str">
        <f t="shared" si="47"/>
        <v>02406911202</v>
      </c>
      <c r="C2003" s="1" t="s">
        <v>13</v>
      </c>
      <c r="D2003" s="1" t="s">
        <v>1257</v>
      </c>
      <c r="E2003" s="1" t="s">
        <v>4239</v>
      </c>
      <c r="F2003" s="1" t="s">
        <v>49</v>
      </c>
      <c r="G2003" s="1" t="str">
        <f>"02803441209"</f>
        <v>02803441209</v>
      </c>
      <c r="I2003" s="1" t="s">
        <v>4240</v>
      </c>
      <c r="L2003" s="1" t="s">
        <v>44</v>
      </c>
      <c r="M2003" s="1" t="s">
        <v>4241</v>
      </c>
      <c r="AG2003" s="1" t="s">
        <v>4241</v>
      </c>
      <c r="AH2003" s="2">
        <v>45086</v>
      </c>
      <c r="AI2003" s="2">
        <v>45093</v>
      </c>
      <c r="AJ2003" s="2">
        <v>45086</v>
      </c>
    </row>
    <row r="2004" spans="1:36">
      <c r="A2004" s="1" t="str">
        <f>"Z6A3B83D1A"</f>
        <v>Z6A3B83D1A</v>
      </c>
      <c r="B2004" s="1" t="str">
        <f t="shared" si="47"/>
        <v>02406911202</v>
      </c>
      <c r="C2004" s="1" t="s">
        <v>13</v>
      </c>
      <c r="D2004" s="1" t="s">
        <v>1253</v>
      </c>
      <c r="E2004" s="1" t="s">
        <v>1260</v>
      </c>
      <c r="F2004" s="1" t="s">
        <v>49</v>
      </c>
      <c r="G2004" s="1" t="str">
        <f>"09270550016"</f>
        <v>09270550016</v>
      </c>
      <c r="I2004" s="1" t="s">
        <v>1328</v>
      </c>
      <c r="L2004" s="1" t="s">
        <v>44</v>
      </c>
      <c r="M2004" s="1" t="s">
        <v>1255</v>
      </c>
      <c r="AG2004" s="1" t="s">
        <v>4242</v>
      </c>
      <c r="AH2004" s="2">
        <v>45090</v>
      </c>
      <c r="AI2004" s="2">
        <v>45291</v>
      </c>
      <c r="AJ2004" s="2">
        <v>45090</v>
      </c>
    </row>
    <row r="2005" spans="1:36">
      <c r="A2005" s="1" t="str">
        <f>"Z1E3B83D35"</f>
        <v>Z1E3B83D35</v>
      </c>
      <c r="B2005" s="1" t="str">
        <f t="shared" si="47"/>
        <v>02406911202</v>
      </c>
      <c r="C2005" s="1" t="s">
        <v>13</v>
      </c>
      <c r="D2005" s="1" t="s">
        <v>1253</v>
      </c>
      <c r="E2005" s="1" t="s">
        <v>1254</v>
      </c>
      <c r="F2005" s="1" t="s">
        <v>49</v>
      </c>
      <c r="G2005" s="1" t="str">
        <f>"07351260158"</f>
        <v>07351260158</v>
      </c>
      <c r="I2005" s="1" t="s">
        <v>3035</v>
      </c>
      <c r="L2005" s="1" t="s">
        <v>44</v>
      </c>
      <c r="M2005" s="1" t="s">
        <v>1255</v>
      </c>
      <c r="AG2005" s="1" t="s">
        <v>4243</v>
      </c>
      <c r="AH2005" s="2">
        <v>45090</v>
      </c>
      <c r="AI2005" s="2">
        <v>45291</v>
      </c>
      <c r="AJ2005" s="2">
        <v>45090</v>
      </c>
    </row>
    <row r="2006" spans="1:36">
      <c r="A2006" s="1" t="str">
        <f>"ZBC3B84675"</f>
        <v>ZBC3B84675</v>
      </c>
      <c r="B2006" s="1" t="str">
        <f t="shared" si="47"/>
        <v>02406911202</v>
      </c>
      <c r="C2006" s="1" t="s">
        <v>13</v>
      </c>
      <c r="D2006" s="1" t="s">
        <v>1312</v>
      </c>
      <c r="E2006" s="1" t="s">
        <v>4244</v>
      </c>
      <c r="F2006" s="1" t="s">
        <v>49</v>
      </c>
      <c r="G2006" s="1" t="str">
        <f>"02663560346"</f>
        <v>02663560346</v>
      </c>
      <c r="I2006" s="1" t="s">
        <v>4245</v>
      </c>
      <c r="L2006" s="1" t="s">
        <v>44</v>
      </c>
      <c r="M2006" s="1" t="s">
        <v>1735</v>
      </c>
      <c r="AG2006" s="1" t="s">
        <v>124</v>
      </c>
      <c r="AH2006" s="2">
        <v>45090</v>
      </c>
      <c r="AI2006" s="2">
        <v>45291</v>
      </c>
      <c r="AJ2006" s="2">
        <v>45090</v>
      </c>
    </row>
    <row r="2007" spans="1:36">
      <c r="A2007" s="1" t="str">
        <f>"974228758F"</f>
        <v>974228758F</v>
      </c>
      <c r="B2007" s="1" t="str">
        <f t="shared" si="47"/>
        <v>02406911202</v>
      </c>
      <c r="C2007" s="1" t="s">
        <v>13</v>
      </c>
      <c r="D2007" s="1" t="s">
        <v>1253</v>
      </c>
      <c r="E2007" s="1" t="s">
        <v>1260</v>
      </c>
      <c r="F2007" s="1" t="s">
        <v>49</v>
      </c>
      <c r="G2007" s="1" t="str">
        <f>"06068041000"</f>
        <v>06068041000</v>
      </c>
      <c r="I2007" s="1" t="s">
        <v>631</v>
      </c>
      <c r="L2007" s="1" t="s">
        <v>44</v>
      </c>
      <c r="M2007" s="1" t="s">
        <v>2739</v>
      </c>
      <c r="AG2007" s="1" t="s">
        <v>4246</v>
      </c>
      <c r="AH2007" s="2">
        <v>45022</v>
      </c>
      <c r="AI2007" s="2">
        <v>45290</v>
      </c>
      <c r="AJ2007" s="2">
        <v>45022</v>
      </c>
    </row>
    <row r="2008" spans="1:36">
      <c r="A2008" s="1" t="str">
        <f>"Z2B3AEE959"</f>
        <v>Z2B3AEE959</v>
      </c>
      <c r="B2008" s="1" t="str">
        <f t="shared" si="47"/>
        <v>02406911202</v>
      </c>
      <c r="C2008" s="1" t="s">
        <v>13</v>
      </c>
      <c r="D2008" s="1" t="s">
        <v>1253</v>
      </c>
      <c r="E2008" s="1" t="s">
        <v>1262</v>
      </c>
      <c r="F2008" s="1" t="s">
        <v>49</v>
      </c>
      <c r="G2008" s="1" t="str">
        <f>"06037901003"</f>
        <v>06037901003</v>
      </c>
      <c r="I2008" s="1" t="s">
        <v>3136</v>
      </c>
      <c r="L2008" s="1" t="s">
        <v>44</v>
      </c>
      <c r="M2008" s="1" t="s">
        <v>1255</v>
      </c>
      <c r="AG2008" s="1" t="s">
        <v>4247</v>
      </c>
      <c r="AH2008" s="2">
        <v>45043</v>
      </c>
      <c r="AI2008" s="2">
        <v>45291</v>
      </c>
      <c r="AJ2008" s="2">
        <v>45043</v>
      </c>
    </row>
    <row r="2009" spans="1:36">
      <c r="A2009" s="1" t="str">
        <f>"Z4E3B0770C"</f>
        <v>Z4E3B0770C</v>
      </c>
      <c r="B2009" s="1" t="str">
        <f t="shared" si="47"/>
        <v>02406911202</v>
      </c>
      <c r="C2009" s="1" t="s">
        <v>13</v>
      </c>
      <c r="D2009" s="1" t="s">
        <v>1312</v>
      </c>
      <c r="E2009" s="1" t="s">
        <v>2509</v>
      </c>
      <c r="F2009" s="1" t="s">
        <v>49</v>
      </c>
      <c r="G2009" s="1" t="str">
        <f>"01793811207"</f>
        <v>01793811207</v>
      </c>
      <c r="I2009" s="1" t="s">
        <v>2683</v>
      </c>
      <c r="L2009" s="1" t="s">
        <v>44</v>
      </c>
      <c r="M2009" s="1" t="s">
        <v>2684</v>
      </c>
      <c r="AG2009" s="1" t="s">
        <v>124</v>
      </c>
      <c r="AH2009" s="2">
        <v>45047</v>
      </c>
      <c r="AI2009" s="2">
        <v>45077</v>
      </c>
      <c r="AJ2009" s="2">
        <v>45047</v>
      </c>
    </row>
    <row r="2010" spans="1:36">
      <c r="A2010" s="1" t="str">
        <f>"Z9E3B09860"</f>
        <v>Z9E3B09860</v>
      </c>
      <c r="B2010" s="1" t="str">
        <f t="shared" si="47"/>
        <v>02406911202</v>
      </c>
      <c r="C2010" s="1" t="s">
        <v>13</v>
      </c>
      <c r="D2010" s="1" t="s">
        <v>1312</v>
      </c>
      <c r="E2010" s="1" t="s">
        <v>4248</v>
      </c>
      <c r="F2010" s="1" t="s">
        <v>49</v>
      </c>
      <c r="G2010" s="1" t="str">
        <f>"00829840156"</f>
        <v>00829840156</v>
      </c>
      <c r="I2010" s="1" t="s">
        <v>1945</v>
      </c>
      <c r="L2010" s="1" t="s">
        <v>44</v>
      </c>
      <c r="M2010" s="1" t="s">
        <v>4249</v>
      </c>
      <c r="AG2010" s="1" t="s">
        <v>124</v>
      </c>
      <c r="AH2010" s="2">
        <v>45051</v>
      </c>
      <c r="AI2010" s="2">
        <v>45291</v>
      </c>
      <c r="AJ2010" s="2">
        <v>45051</v>
      </c>
    </row>
    <row r="2011" spans="1:36">
      <c r="A2011" s="1" t="str">
        <f>"Z483B098BA"</f>
        <v>Z483B098BA</v>
      </c>
      <c r="B2011" s="1" t="str">
        <f t="shared" si="47"/>
        <v>02406911202</v>
      </c>
      <c r="C2011" s="1" t="s">
        <v>13</v>
      </c>
      <c r="D2011" s="1" t="s">
        <v>1312</v>
      </c>
      <c r="E2011" s="1" t="s">
        <v>4250</v>
      </c>
      <c r="F2011" s="1" t="s">
        <v>49</v>
      </c>
      <c r="G2011" s="1" t="str">
        <f>"00696690502"</f>
        <v>00696690502</v>
      </c>
      <c r="I2011" s="1" t="s">
        <v>4251</v>
      </c>
      <c r="L2011" s="1" t="s">
        <v>44</v>
      </c>
      <c r="M2011" s="1" t="s">
        <v>4252</v>
      </c>
      <c r="AG2011" s="1" t="s">
        <v>124</v>
      </c>
      <c r="AH2011" s="2">
        <v>45051</v>
      </c>
      <c r="AI2011" s="2">
        <v>45291</v>
      </c>
      <c r="AJ2011" s="2">
        <v>45051</v>
      </c>
    </row>
    <row r="2012" spans="1:36">
      <c r="A2012" s="1" t="str">
        <f>"ZC43B0B153"</f>
        <v>ZC43B0B153</v>
      </c>
      <c r="B2012" s="1" t="str">
        <f t="shared" si="47"/>
        <v>02406911202</v>
      </c>
      <c r="C2012" s="1" t="s">
        <v>13</v>
      </c>
      <c r="D2012" s="1" t="s">
        <v>1253</v>
      </c>
      <c r="E2012" s="1" t="s">
        <v>3083</v>
      </c>
      <c r="F2012" s="1" t="s">
        <v>49</v>
      </c>
      <c r="G2012" s="1" t="str">
        <f>"01258691003"</f>
        <v>01258691003</v>
      </c>
      <c r="I2012" s="1" t="s">
        <v>2027</v>
      </c>
      <c r="L2012" s="1" t="s">
        <v>44</v>
      </c>
      <c r="M2012" s="1" t="s">
        <v>1255</v>
      </c>
      <c r="AG2012" s="1" t="s">
        <v>3084</v>
      </c>
      <c r="AH2012" s="2">
        <v>45051</v>
      </c>
      <c r="AI2012" s="2">
        <v>45291</v>
      </c>
      <c r="AJ2012" s="2">
        <v>45051</v>
      </c>
    </row>
    <row r="2013" spans="1:36">
      <c r="A2013" s="1" t="str">
        <f>"Z163B0FB06"</f>
        <v>Z163B0FB06</v>
      </c>
      <c r="B2013" s="1" t="str">
        <f t="shared" si="47"/>
        <v>02406911202</v>
      </c>
      <c r="C2013" s="1" t="s">
        <v>13</v>
      </c>
      <c r="D2013" s="1" t="s">
        <v>205</v>
      </c>
      <c r="E2013" s="1" t="s">
        <v>4253</v>
      </c>
      <c r="F2013" s="1" t="s">
        <v>49</v>
      </c>
      <c r="G2013" s="1" t="str">
        <f>"02597981204"</f>
        <v>02597981204</v>
      </c>
      <c r="I2013" s="1" t="s">
        <v>4254</v>
      </c>
      <c r="L2013" s="1" t="s">
        <v>44</v>
      </c>
      <c r="M2013" s="1" t="s">
        <v>4255</v>
      </c>
      <c r="AG2013" s="1" t="s">
        <v>4256</v>
      </c>
      <c r="AH2013" s="2">
        <v>44927</v>
      </c>
      <c r="AI2013" s="2">
        <v>45291</v>
      </c>
      <c r="AJ2013" s="2">
        <v>44927</v>
      </c>
    </row>
    <row r="2014" spans="1:36">
      <c r="A2014" s="1" t="str">
        <f>"ZFA3B13C66"</f>
        <v>ZFA3B13C66</v>
      </c>
      <c r="B2014" s="1" t="str">
        <f t="shared" si="47"/>
        <v>02406911202</v>
      </c>
      <c r="C2014" s="1" t="s">
        <v>13</v>
      </c>
      <c r="D2014" s="1" t="s">
        <v>205</v>
      </c>
      <c r="E2014" s="1" t="s">
        <v>4257</v>
      </c>
      <c r="F2014" s="1" t="s">
        <v>49</v>
      </c>
      <c r="G2014" s="1" t="str">
        <f>"02605701206"</f>
        <v>02605701206</v>
      </c>
      <c r="I2014" s="1" t="s">
        <v>4258</v>
      </c>
      <c r="L2014" s="1" t="s">
        <v>44</v>
      </c>
      <c r="M2014" s="1" t="s">
        <v>4259</v>
      </c>
      <c r="AG2014" s="1" t="s">
        <v>124</v>
      </c>
      <c r="AH2014" s="2">
        <v>44927</v>
      </c>
      <c r="AI2014" s="2">
        <v>45291</v>
      </c>
      <c r="AJ2014" s="2">
        <v>44927</v>
      </c>
    </row>
    <row r="2015" spans="1:36">
      <c r="A2015" s="1" t="str">
        <f>"Z9D3B8C277"</f>
        <v>Z9D3B8C277</v>
      </c>
      <c r="B2015" s="1" t="str">
        <f t="shared" si="47"/>
        <v>02406911202</v>
      </c>
      <c r="C2015" s="1" t="s">
        <v>13</v>
      </c>
      <c r="D2015" s="1" t="s">
        <v>1253</v>
      </c>
      <c r="E2015" s="1" t="s">
        <v>1387</v>
      </c>
      <c r="F2015" s="1" t="s">
        <v>49</v>
      </c>
      <c r="G2015" s="1" t="str">
        <f>"00050110527"</f>
        <v>00050110527</v>
      </c>
      <c r="I2015" s="1" t="s">
        <v>4260</v>
      </c>
      <c r="L2015" s="1" t="s">
        <v>44</v>
      </c>
      <c r="M2015" s="1" t="s">
        <v>1255</v>
      </c>
      <c r="AG2015" s="1" t="s">
        <v>4261</v>
      </c>
      <c r="AH2015" s="2">
        <v>45091</v>
      </c>
      <c r="AI2015" s="2">
        <v>45291</v>
      </c>
      <c r="AJ2015" s="2">
        <v>45091</v>
      </c>
    </row>
    <row r="2016" spans="1:36">
      <c r="A2016" s="1" t="str">
        <f>"98842694D0"</f>
        <v>98842694D0</v>
      </c>
      <c r="B2016" s="1" t="str">
        <f t="shared" si="47"/>
        <v>02406911202</v>
      </c>
      <c r="C2016" s="1" t="s">
        <v>13</v>
      </c>
      <c r="D2016" s="1" t="s">
        <v>37</v>
      </c>
      <c r="E2016" s="1" t="s">
        <v>4262</v>
      </c>
      <c r="F2016" s="1" t="s">
        <v>117</v>
      </c>
      <c r="G2016" s="1" t="str">
        <f>"01857820284"</f>
        <v>01857820284</v>
      </c>
      <c r="I2016" s="1" t="s">
        <v>674</v>
      </c>
      <c r="L2016" s="1" t="s">
        <v>44</v>
      </c>
      <c r="M2016" s="1" t="s">
        <v>4263</v>
      </c>
      <c r="AG2016" s="1" t="s">
        <v>124</v>
      </c>
      <c r="AH2016" s="2">
        <v>45092</v>
      </c>
      <c r="AI2016" s="2">
        <v>45819</v>
      </c>
      <c r="AJ2016" s="2">
        <v>45092</v>
      </c>
    </row>
    <row r="2017" spans="1:36">
      <c r="A2017" s="1" t="str">
        <f>"Z103B8F2BE"</f>
        <v>Z103B8F2BE</v>
      </c>
      <c r="B2017" s="1" t="str">
        <f t="shared" si="47"/>
        <v>02406911202</v>
      </c>
      <c r="C2017" s="1" t="s">
        <v>13</v>
      </c>
      <c r="D2017" s="1" t="s">
        <v>1312</v>
      </c>
      <c r="E2017" s="1" t="s">
        <v>4264</v>
      </c>
      <c r="F2017" s="1" t="s">
        <v>49</v>
      </c>
      <c r="G2017" s="1" t="str">
        <f>"05096510267"</f>
        <v>05096510267</v>
      </c>
      <c r="I2017" s="1" t="s">
        <v>3095</v>
      </c>
      <c r="L2017" s="1" t="s">
        <v>44</v>
      </c>
      <c r="M2017" s="1" t="s">
        <v>2565</v>
      </c>
      <c r="AG2017" s="1" t="s">
        <v>124</v>
      </c>
      <c r="AH2017" s="2">
        <v>45092</v>
      </c>
      <c r="AI2017" s="2">
        <v>45291</v>
      </c>
      <c r="AJ2017" s="2">
        <v>45092</v>
      </c>
    </row>
    <row r="2018" spans="1:36">
      <c r="A2018" s="1" t="str">
        <f>"Z153ADC61A"</f>
        <v>Z153ADC61A</v>
      </c>
      <c r="B2018" s="1" t="str">
        <f t="shared" si="47"/>
        <v>02406911202</v>
      </c>
      <c r="C2018" s="1" t="s">
        <v>13</v>
      </c>
      <c r="D2018" s="1" t="s">
        <v>1253</v>
      </c>
      <c r="E2018" s="1" t="s">
        <v>1260</v>
      </c>
      <c r="F2018" s="1" t="s">
        <v>49</v>
      </c>
      <c r="G2018" s="1" t="str">
        <f>"11408800966"</f>
        <v>11408800966</v>
      </c>
      <c r="I2018" s="1" t="s">
        <v>1930</v>
      </c>
      <c r="L2018" s="1" t="s">
        <v>44</v>
      </c>
      <c r="M2018" s="1" t="s">
        <v>1255</v>
      </c>
      <c r="AG2018" s="1" t="s">
        <v>4265</v>
      </c>
      <c r="AH2018" s="2">
        <v>45057</v>
      </c>
      <c r="AI2018" s="2">
        <v>45291</v>
      </c>
      <c r="AJ2018" s="2">
        <v>45057</v>
      </c>
    </row>
    <row r="2019" spans="1:36">
      <c r="A2019" s="1" t="str">
        <f>"ZBF3B96B72"</f>
        <v>ZBF3B96B72</v>
      </c>
      <c r="B2019" s="1" t="str">
        <f t="shared" si="47"/>
        <v>02406911202</v>
      </c>
      <c r="C2019" s="1" t="s">
        <v>13</v>
      </c>
      <c r="D2019" s="1" t="s">
        <v>1253</v>
      </c>
      <c r="E2019" s="1" t="s">
        <v>4266</v>
      </c>
      <c r="F2019" s="1" t="s">
        <v>49</v>
      </c>
      <c r="G2019" s="1" t="str">
        <f>"02405040284"</f>
        <v>02405040284</v>
      </c>
      <c r="I2019" s="1" t="s">
        <v>1473</v>
      </c>
      <c r="L2019" s="1" t="s">
        <v>44</v>
      </c>
      <c r="M2019" s="1" t="s">
        <v>153</v>
      </c>
      <c r="AG2019" s="1" t="s">
        <v>4267</v>
      </c>
      <c r="AH2019" s="2">
        <v>45093</v>
      </c>
      <c r="AI2019" s="2">
        <v>45291</v>
      </c>
      <c r="AJ2019" s="2">
        <v>45093</v>
      </c>
    </row>
    <row r="2020" spans="1:36">
      <c r="A2020" s="1" t="str">
        <f>"Z0B3B971D6"</f>
        <v>Z0B3B971D6</v>
      </c>
      <c r="B2020" s="1" t="str">
        <f t="shared" si="47"/>
        <v>02406911202</v>
      </c>
      <c r="C2020" s="1" t="s">
        <v>13</v>
      </c>
      <c r="D2020" s="1" t="s">
        <v>205</v>
      </c>
      <c r="E2020" s="1" t="s">
        <v>4268</v>
      </c>
      <c r="F2020" s="1" t="s">
        <v>49</v>
      </c>
      <c r="G2020" s="1" t="str">
        <f>"94033610364"</f>
        <v>94033610364</v>
      </c>
      <c r="I2020" s="1" t="s">
        <v>4269</v>
      </c>
      <c r="L2020" s="1" t="s">
        <v>44</v>
      </c>
      <c r="M2020" s="1" t="s">
        <v>4270</v>
      </c>
      <c r="AG2020" s="1" t="s">
        <v>4271</v>
      </c>
      <c r="AH2020" s="2">
        <v>45047</v>
      </c>
      <c r="AI2020" s="2">
        <v>46142</v>
      </c>
      <c r="AJ2020" s="2">
        <v>45047</v>
      </c>
    </row>
    <row r="2021" spans="1:36">
      <c r="A2021" s="1" t="str">
        <f>"ZFA3B98331"</f>
        <v>ZFA3B98331</v>
      </c>
      <c r="B2021" s="1" t="str">
        <f t="shared" si="47"/>
        <v>02406911202</v>
      </c>
      <c r="C2021" s="1" t="s">
        <v>13</v>
      </c>
      <c r="D2021" s="1" t="s">
        <v>1253</v>
      </c>
      <c r="E2021" s="1" t="s">
        <v>3227</v>
      </c>
      <c r="F2021" s="1" t="s">
        <v>49</v>
      </c>
      <c r="H2021" s="1" t="str">
        <f>"106883221"</f>
        <v>106883221</v>
      </c>
      <c r="I2021" s="1" t="s">
        <v>2894</v>
      </c>
      <c r="L2021" s="1" t="s">
        <v>44</v>
      </c>
      <c r="M2021" s="1" t="s">
        <v>1255</v>
      </c>
      <c r="AG2021" s="1" t="s">
        <v>4272</v>
      </c>
      <c r="AH2021" s="2">
        <v>45096</v>
      </c>
      <c r="AI2021" s="2">
        <v>45291</v>
      </c>
      <c r="AJ2021" s="2">
        <v>45096</v>
      </c>
    </row>
    <row r="2022" spans="1:36">
      <c r="A2022" s="1" t="str">
        <f>"Z113B9AD4D"</f>
        <v>Z113B9AD4D</v>
      </c>
      <c r="B2022" s="1" t="str">
        <f t="shared" si="47"/>
        <v>02406911202</v>
      </c>
      <c r="C2022" s="1" t="s">
        <v>13</v>
      </c>
      <c r="D2022" s="1" t="s">
        <v>1253</v>
      </c>
      <c r="E2022" s="1" t="s">
        <v>1260</v>
      </c>
      <c r="F2022" s="1" t="s">
        <v>49</v>
      </c>
      <c r="G2022" s="1" t="str">
        <f>"08976680150"</f>
        <v>08976680150</v>
      </c>
      <c r="I2022" s="1" t="s">
        <v>4273</v>
      </c>
      <c r="L2022" s="1" t="s">
        <v>44</v>
      </c>
      <c r="M2022" s="1" t="s">
        <v>1255</v>
      </c>
      <c r="AG2022" s="1" t="s">
        <v>4274</v>
      </c>
      <c r="AH2022" s="2">
        <v>45096</v>
      </c>
      <c r="AI2022" s="2">
        <v>45291</v>
      </c>
      <c r="AJ2022" s="2">
        <v>45096</v>
      </c>
    </row>
    <row r="2023" spans="1:36">
      <c r="A2023" s="1" t="str">
        <f>"ZE83B9B058"</f>
        <v>ZE83B9B058</v>
      </c>
      <c r="B2023" s="1" t="str">
        <f t="shared" si="47"/>
        <v>02406911202</v>
      </c>
      <c r="C2023" s="1" t="s">
        <v>13</v>
      </c>
      <c r="D2023" s="1" t="s">
        <v>1253</v>
      </c>
      <c r="E2023" s="1" t="s">
        <v>1254</v>
      </c>
      <c r="F2023" s="1" t="s">
        <v>49</v>
      </c>
      <c r="G2023" s="1" t="str">
        <f>"01990200170"</f>
        <v>01990200170</v>
      </c>
      <c r="I2023" s="1" t="s">
        <v>203</v>
      </c>
      <c r="L2023" s="1" t="s">
        <v>44</v>
      </c>
      <c r="M2023" s="1" t="s">
        <v>1255</v>
      </c>
      <c r="AG2023" s="1" t="s">
        <v>931</v>
      </c>
      <c r="AH2023" s="2">
        <v>45096</v>
      </c>
      <c r="AI2023" s="2">
        <v>45291</v>
      </c>
      <c r="AJ2023" s="2">
        <v>45096</v>
      </c>
    </row>
    <row r="2024" spans="1:36">
      <c r="A2024" s="1" t="str">
        <f>"98520687B4"</f>
        <v>98520687B4</v>
      </c>
      <c r="B2024" s="1" t="str">
        <f t="shared" si="47"/>
        <v>02406911202</v>
      </c>
      <c r="C2024" s="1" t="s">
        <v>13</v>
      </c>
      <c r="D2024" s="1" t="s">
        <v>1253</v>
      </c>
      <c r="E2024" s="1" t="s">
        <v>1260</v>
      </c>
      <c r="F2024" s="1" t="s">
        <v>49</v>
      </c>
      <c r="G2024" s="1" t="str">
        <f>"06032681006"</f>
        <v>06032681006</v>
      </c>
      <c r="I2024" s="1" t="s">
        <v>1351</v>
      </c>
      <c r="L2024" s="1" t="s">
        <v>44</v>
      </c>
      <c r="M2024" s="1" t="s">
        <v>2849</v>
      </c>
      <c r="AG2024" s="1" t="s">
        <v>124</v>
      </c>
      <c r="AH2024" s="2">
        <v>45097</v>
      </c>
      <c r="AI2024" s="2">
        <v>45291</v>
      </c>
      <c r="AJ2024" s="2">
        <v>45097</v>
      </c>
    </row>
    <row r="2025" spans="1:36">
      <c r="A2025" s="1" t="str">
        <f>"Z703A989B8"</f>
        <v>Z703A989B8</v>
      </c>
      <c r="B2025" s="1" t="str">
        <f t="shared" si="47"/>
        <v>02406911202</v>
      </c>
      <c r="C2025" s="1" t="s">
        <v>13</v>
      </c>
      <c r="D2025" s="1" t="s">
        <v>1257</v>
      </c>
      <c r="E2025" s="1" t="s">
        <v>4275</v>
      </c>
      <c r="F2025" s="1" t="s">
        <v>49</v>
      </c>
      <c r="G2025" s="1" t="str">
        <f>"02019210364"</f>
        <v>02019210364</v>
      </c>
      <c r="I2025" s="1" t="s">
        <v>4276</v>
      </c>
      <c r="L2025" s="1" t="s">
        <v>44</v>
      </c>
      <c r="M2025" s="1" t="s">
        <v>153</v>
      </c>
      <c r="AG2025" s="1" t="s">
        <v>4277</v>
      </c>
      <c r="AH2025" s="2">
        <v>45015</v>
      </c>
      <c r="AI2025" s="2">
        <v>45291</v>
      </c>
      <c r="AJ2025" s="2">
        <v>45015</v>
      </c>
    </row>
    <row r="2026" spans="1:36">
      <c r="A2026" s="1" t="str">
        <f>"Z623AD567E"</f>
        <v>Z623AD567E</v>
      </c>
      <c r="B2026" s="1" t="str">
        <f t="shared" si="47"/>
        <v>02406911202</v>
      </c>
      <c r="C2026" s="1" t="s">
        <v>13</v>
      </c>
      <c r="D2026" s="1" t="s">
        <v>1253</v>
      </c>
      <c r="E2026" s="1" t="s">
        <v>1254</v>
      </c>
      <c r="F2026" s="1" t="s">
        <v>49</v>
      </c>
      <c r="G2026" s="1" t="str">
        <f>"09699320017"</f>
        <v>09699320017</v>
      </c>
      <c r="I2026" s="1" t="s">
        <v>540</v>
      </c>
      <c r="L2026" s="1" t="s">
        <v>44</v>
      </c>
      <c r="M2026" s="1" t="s">
        <v>1255</v>
      </c>
      <c r="AG2026" s="1" t="s">
        <v>4278</v>
      </c>
      <c r="AH2026" s="2">
        <v>45034</v>
      </c>
      <c r="AI2026" s="2">
        <v>45291</v>
      </c>
      <c r="AJ2026" s="2">
        <v>45034</v>
      </c>
    </row>
    <row r="2027" spans="1:36">
      <c r="A2027" s="1" t="str">
        <f>"Z443B00B71"</f>
        <v>Z443B00B71</v>
      </c>
      <c r="B2027" s="1" t="str">
        <f t="shared" si="47"/>
        <v>02406911202</v>
      </c>
      <c r="C2027" s="1" t="s">
        <v>13</v>
      </c>
      <c r="D2027" s="1" t="s">
        <v>205</v>
      </c>
      <c r="E2027" s="1" t="s">
        <v>4279</v>
      </c>
      <c r="F2027" s="1" t="s">
        <v>49</v>
      </c>
      <c r="G2027" s="1" t="str">
        <f>"02883561207"</f>
        <v>02883561207</v>
      </c>
      <c r="I2027" s="1" t="s">
        <v>4280</v>
      </c>
      <c r="L2027" s="1" t="s">
        <v>44</v>
      </c>
      <c r="M2027" s="1" t="s">
        <v>4281</v>
      </c>
      <c r="AG2027" s="1" t="s">
        <v>4282</v>
      </c>
      <c r="AH2027" s="2">
        <v>44927</v>
      </c>
      <c r="AI2027" s="2">
        <v>45291</v>
      </c>
      <c r="AJ2027" s="2">
        <v>44927</v>
      </c>
    </row>
    <row r="2028" spans="1:36">
      <c r="A2028" s="1" t="str">
        <f>"ZC73AFDA6E"</f>
        <v>ZC73AFDA6E</v>
      </c>
      <c r="B2028" s="1" t="str">
        <f t="shared" si="47"/>
        <v>02406911202</v>
      </c>
      <c r="C2028" s="1" t="s">
        <v>13</v>
      </c>
      <c r="D2028" s="1" t="s">
        <v>205</v>
      </c>
      <c r="E2028" s="1" t="s">
        <v>4283</v>
      </c>
      <c r="F2028" s="1" t="s">
        <v>49</v>
      </c>
      <c r="G2028" s="1" t="str">
        <f>"03123891206"</f>
        <v>03123891206</v>
      </c>
      <c r="I2028" s="1" t="s">
        <v>4284</v>
      </c>
      <c r="L2028" s="1" t="s">
        <v>44</v>
      </c>
      <c r="M2028" s="1" t="s">
        <v>4285</v>
      </c>
      <c r="AG2028" s="1" t="s">
        <v>4286</v>
      </c>
      <c r="AH2028" s="2">
        <v>44927</v>
      </c>
      <c r="AI2028" s="2">
        <v>45291</v>
      </c>
      <c r="AJ2028" s="2">
        <v>44927</v>
      </c>
    </row>
    <row r="2029" spans="1:36">
      <c r="A2029" s="1" t="str">
        <f>"97845122BC"</f>
        <v>97845122BC</v>
      </c>
      <c r="B2029" s="1" t="str">
        <f t="shared" si="47"/>
        <v>02406911202</v>
      </c>
      <c r="C2029" s="1" t="s">
        <v>13</v>
      </c>
      <c r="D2029" s="1" t="s">
        <v>37</v>
      </c>
      <c r="E2029" s="1" t="s">
        <v>4287</v>
      </c>
      <c r="F2029" s="1" t="s">
        <v>39</v>
      </c>
      <c r="G2029" s="1" t="str">
        <f>"06734220962"</f>
        <v>06734220962</v>
      </c>
      <c r="I2029" s="1" t="s">
        <v>2320</v>
      </c>
      <c r="L2029" s="1" t="s">
        <v>44</v>
      </c>
      <c r="M2029" s="1" t="s">
        <v>4288</v>
      </c>
      <c r="AG2029" s="1" t="s">
        <v>4289</v>
      </c>
      <c r="AH2029" s="2">
        <v>45047</v>
      </c>
      <c r="AI2029" s="2">
        <v>46142</v>
      </c>
      <c r="AJ2029" s="2">
        <v>45047</v>
      </c>
    </row>
    <row r="2030" spans="1:36">
      <c r="A2030" s="1" t="str">
        <f>"Z853B7408E"</f>
        <v>Z853B7408E</v>
      </c>
      <c r="B2030" s="1" t="str">
        <f t="shared" si="47"/>
        <v>02406911202</v>
      </c>
      <c r="C2030" s="1" t="s">
        <v>13</v>
      </c>
      <c r="D2030" s="1" t="s">
        <v>1253</v>
      </c>
      <c r="E2030" s="1" t="s">
        <v>1270</v>
      </c>
      <c r="F2030" s="1" t="s">
        <v>49</v>
      </c>
      <c r="G2030" s="1" t="str">
        <f>"07617050153"</f>
        <v>07617050153</v>
      </c>
      <c r="I2030" s="1" t="s">
        <v>4290</v>
      </c>
      <c r="L2030" s="1" t="s">
        <v>44</v>
      </c>
      <c r="M2030" s="1" t="s">
        <v>153</v>
      </c>
      <c r="AG2030" s="1" t="s">
        <v>4291</v>
      </c>
      <c r="AH2030" s="2">
        <v>45084</v>
      </c>
      <c r="AI2030" s="2">
        <v>45291</v>
      </c>
      <c r="AJ2030" s="2">
        <v>45084</v>
      </c>
    </row>
    <row r="2031" spans="1:36">
      <c r="A2031" s="1" t="str">
        <f>"ZC33B8BC0A"</f>
        <v>ZC33B8BC0A</v>
      </c>
      <c r="B2031" s="1" t="str">
        <f t="shared" si="47"/>
        <v>02406911202</v>
      </c>
      <c r="C2031" s="1" t="s">
        <v>13</v>
      </c>
      <c r="D2031" s="1" t="s">
        <v>1253</v>
      </c>
      <c r="E2031" s="1" t="s">
        <v>1270</v>
      </c>
      <c r="F2031" s="1" t="s">
        <v>49</v>
      </c>
      <c r="G2031" s="1" t="str">
        <f>"04337640280"</f>
        <v>04337640280</v>
      </c>
      <c r="I2031" s="1" t="s">
        <v>379</v>
      </c>
      <c r="L2031" s="1" t="s">
        <v>44</v>
      </c>
      <c r="M2031" s="1" t="s">
        <v>153</v>
      </c>
      <c r="AG2031" s="1" t="s">
        <v>4292</v>
      </c>
      <c r="AH2031" s="2">
        <v>45091</v>
      </c>
      <c r="AI2031" s="2">
        <v>45291</v>
      </c>
      <c r="AJ2031" s="2">
        <v>45091</v>
      </c>
    </row>
    <row r="2032" spans="1:36">
      <c r="A2032" s="1" t="str">
        <f>"ZEA3B8CE65"</f>
        <v>ZEA3B8CE65</v>
      </c>
      <c r="B2032" s="1" t="str">
        <f t="shared" si="47"/>
        <v>02406911202</v>
      </c>
      <c r="C2032" s="1" t="s">
        <v>13</v>
      </c>
      <c r="D2032" s="1" t="s">
        <v>1253</v>
      </c>
      <c r="E2032" s="1" t="s">
        <v>4293</v>
      </c>
      <c r="F2032" s="1" t="s">
        <v>49</v>
      </c>
      <c r="G2032" s="1" t="str">
        <f>"08082461008"</f>
        <v>08082461008</v>
      </c>
      <c r="I2032" s="1" t="s">
        <v>423</v>
      </c>
      <c r="L2032" s="1" t="s">
        <v>44</v>
      </c>
      <c r="M2032" s="1" t="s">
        <v>1255</v>
      </c>
      <c r="AG2032" s="1" t="s">
        <v>4294</v>
      </c>
      <c r="AH2032" s="2">
        <v>45091</v>
      </c>
      <c r="AI2032" s="2">
        <v>45291</v>
      </c>
      <c r="AJ2032" s="2">
        <v>45091</v>
      </c>
    </row>
    <row r="2033" spans="1:36">
      <c r="A2033" s="1" t="str">
        <f>"9884196891"</f>
        <v>9884196891</v>
      </c>
      <c r="B2033" s="1" t="str">
        <f t="shared" si="47"/>
        <v>02406911202</v>
      </c>
      <c r="C2033" s="1" t="s">
        <v>13</v>
      </c>
      <c r="D2033" s="1" t="s">
        <v>37</v>
      </c>
      <c r="E2033" s="1" t="s">
        <v>4295</v>
      </c>
      <c r="F2033" s="1" t="s">
        <v>117</v>
      </c>
      <c r="G2033" s="1" t="str">
        <f>"02518990284"</f>
        <v>02518990284</v>
      </c>
      <c r="I2033" s="1" t="s">
        <v>4211</v>
      </c>
      <c r="L2033" s="1" t="s">
        <v>44</v>
      </c>
      <c r="M2033" s="1" t="s">
        <v>4296</v>
      </c>
      <c r="AG2033" s="1" t="s">
        <v>124</v>
      </c>
      <c r="AH2033" s="2">
        <v>45092</v>
      </c>
      <c r="AI2033" s="2">
        <v>45820</v>
      </c>
      <c r="AJ2033" s="2">
        <v>45092</v>
      </c>
    </row>
    <row r="2034" spans="1:36">
      <c r="A2034" s="1" t="str">
        <f>"98843317F9"</f>
        <v>98843317F9</v>
      </c>
      <c r="B2034" s="1" t="str">
        <f t="shared" si="47"/>
        <v>02406911202</v>
      </c>
      <c r="C2034" s="1" t="s">
        <v>13</v>
      </c>
      <c r="D2034" s="1" t="s">
        <v>37</v>
      </c>
      <c r="E2034" s="1" t="s">
        <v>4297</v>
      </c>
      <c r="F2034" s="1" t="s">
        <v>117</v>
      </c>
      <c r="G2034" s="1" t="str">
        <f>"01857820284"</f>
        <v>01857820284</v>
      </c>
      <c r="I2034" s="1" t="s">
        <v>674</v>
      </c>
      <c r="L2034" s="1" t="s">
        <v>44</v>
      </c>
      <c r="M2034" s="1" t="s">
        <v>4298</v>
      </c>
      <c r="AG2034" s="1" t="s">
        <v>124</v>
      </c>
      <c r="AH2034" s="2">
        <v>45092</v>
      </c>
      <c r="AI2034" s="2">
        <v>45819</v>
      </c>
      <c r="AJ2034" s="2">
        <v>45092</v>
      </c>
    </row>
    <row r="2035" spans="1:36">
      <c r="A2035" s="1" t="str">
        <f t="shared" ref="A2035:A2041" si="48">"Z1D3B2812D"</f>
        <v>Z1D3B2812D</v>
      </c>
      <c r="B2035" s="1" t="str">
        <f t="shared" si="47"/>
        <v>02406911202</v>
      </c>
      <c r="C2035" s="1" t="s">
        <v>13</v>
      </c>
      <c r="D2035" s="1" t="s">
        <v>1741</v>
      </c>
      <c r="E2035" s="1" t="s">
        <v>4299</v>
      </c>
      <c r="F2035" s="1" t="s">
        <v>39</v>
      </c>
      <c r="G2035" s="1" t="str">
        <f>"00700661200"</f>
        <v>00700661200</v>
      </c>
      <c r="I2035" s="1" t="s">
        <v>4300</v>
      </c>
      <c r="L2035" s="1" t="s">
        <v>44</v>
      </c>
      <c r="M2035" s="1" t="s">
        <v>4301</v>
      </c>
      <c r="AG2035" s="1" t="s">
        <v>4301</v>
      </c>
      <c r="AH2035" s="2">
        <v>45061</v>
      </c>
      <c r="AI2035" s="2">
        <v>45291</v>
      </c>
      <c r="AJ2035" s="2">
        <v>45061</v>
      </c>
    </row>
    <row r="2036" spans="1:36">
      <c r="A2036" s="1" t="str">
        <f t="shared" si="48"/>
        <v>Z1D3B2812D</v>
      </c>
      <c r="B2036" s="1" t="str">
        <f t="shared" si="47"/>
        <v>02406911202</v>
      </c>
      <c r="C2036" s="1" t="s">
        <v>13</v>
      </c>
      <c r="D2036" s="1" t="s">
        <v>1741</v>
      </c>
      <c r="E2036" s="1" t="s">
        <v>4299</v>
      </c>
      <c r="F2036" s="1" t="s">
        <v>39</v>
      </c>
      <c r="G2036" s="1" t="str">
        <f>"00740430335"</f>
        <v>00740430335</v>
      </c>
      <c r="I2036" s="1" t="s">
        <v>1888</v>
      </c>
      <c r="L2036" s="1" t="s">
        <v>41</v>
      </c>
      <c r="AJ2036" s="2">
        <v>45061</v>
      </c>
    </row>
    <row r="2037" spans="1:36">
      <c r="A2037" s="1" t="str">
        <f t="shared" si="48"/>
        <v>Z1D3B2812D</v>
      </c>
      <c r="B2037" s="1" t="str">
        <f t="shared" si="47"/>
        <v>02406911202</v>
      </c>
      <c r="C2037" s="1" t="s">
        <v>13</v>
      </c>
      <c r="D2037" s="1" t="s">
        <v>1741</v>
      </c>
      <c r="E2037" s="1" t="s">
        <v>4299</v>
      </c>
      <c r="F2037" s="1" t="s">
        <v>39</v>
      </c>
      <c r="G2037" s="1" t="str">
        <f>"01486330309"</f>
        <v>01486330309</v>
      </c>
      <c r="I2037" s="1" t="s">
        <v>2134</v>
      </c>
      <c r="L2037" s="1" t="s">
        <v>41</v>
      </c>
      <c r="AJ2037" s="2">
        <v>45061</v>
      </c>
    </row>
    <row r="2038" spans="1:36">
      <c r="A2038" s="1" t="str">
        <f t="shared" si="48"/>
        <v>Z1D3B2812D</v>
      </c>
      <c r="B2038" s="1" t="str">
        <f t="shared" si="47"/>
        <v>02406911202</v>
      </c>
      <c r="C2038" s="1" t="s">
        <v>13</v>
      </c>
      <c r="D2038" s="1" t="s">
        <v>1741</v>
      </c>
      <c r="E2038" s="1" t="s">
        <v>4299</v>
      </c>
      <c r="F2038" s="1" t="s">
        <v>39</v>
      </c>
      <c r="G2038" s="1" t="str">
        <f>"02138390360"</f>
        <v>02138390360</v>
      </c>
      <c r="I2038" s="1" t="s">
        <v>1879</v>
      </c>
      <c r="L2038" s="1" t="s">
        <v>41</v>
      </c>
      <c r="AJ2038" s="2">
        <v>45061</v>
      </c>
    </row>
    <row r="2039" spans="1:36">
      <c r="A2039" s="1" t="str">
        <f t="shared" si="48"/>
        <v>Z1D3B2812D</v>
      </c>
      <c r="B2039" s="1" t="str">
        <f t="shared" si="47"/>
        <v>02406911202</v>
      </c>
      <c r="C2039" s="1" t="s">
        <v>13</v>
      </c>
      <c r="D2039" s="1" t="s">
        <v>1741</v>
      </c>
      <c r="E2039" s="1" t="s">
        <v>4299</v>
      </c>
      <c r="F2039" s="1" t="s">
        <v>39</v>
      </c>
      <c r="G2039" s="1" t="str">
        <f>"09234221001"</f>
        <v>09234221001</v>
      </c>
      <c r="I2039" s="1" t="s">
        <v>4302</v>
      </c>
      <c r="L2039" s="1" t="s">
        <v>41</v>
      </c>
      <c r="AJ2039" s="2">
        <v>45061</v>
      </c>
    </row>
    <row r="2040" spans="1:36">
      <c r="A2040" s="1" t="str">
        <f t="shared" si="48"/>
        <v>Z1D3B2812D</v>
      </c>
      <c r="B2040" s="1" t="str">
        <f t="shared" si="47"/>
        <v>02406911202</v>
      </c>
      <c r="C2040" s="1" t="s">
        <v>13</v>
      </c>
      <c r="D2040" s="1" t="s">
        <v>1741</v>
      </c>
      <c r="E2040" s="1" t="s">
        <v>4299</v>
      </c>
      <c r="F2040" s="1" t="s">
        <v>39</v>
      </c>
      <c r="G2040" s="1" t="str">
        <f>"01813500541"</f>
        <v>01813500541</v>
      </c>
      <c r="I2040" s="1" t="s">
        <v>2137</v>
      </c>
      <c r="L2040" s="1" t="s">
        <v>41</v>
      </c>
      <c r="AJ2040" s="2">
        <v>45061</v>
      </c>
    </row>
    <row r="2041" spans="1:36">
      <c r="A2041" s="1" t="str">
        <f t="shared" si="48"/>
        <v>Z1D3B2812D</v>
      </c>
      <c r="B2041" s="1" t="str">
        <f t="shared" si="47"/>
        <v>02406911202</v>
      </c>
      <c r="C2041" s="1" t="s">
        <v>13</v>
      </c>
      <c r="D2041" s="1" t="s">
        <v>1741</v>
      </c>
      <c r="E2041" s="1" t="s">
        <v>4299</v>
      </c>
      <c r="F2041" s="1" t="s">
        <v>39</v>
      </c>
      <c r="G2041" s="1" t="str">
        <f>"06736060630"</f>
        <v>06736060630</v>
      </c>
      <c r="I2041" s="1" t="s">
        <v>2130</v>
      </c>
      <c r="L2041" s="1" t="s">
        <v>41</v>
      </c>
      <c r="AJ2041" s="2">
        <v>45061</v>
      </c>
    </row>
    <row r="2042" spans="1:36">
      <c r="A2042" s="1" t="str">
        <f>"Z503B8FE1C"</f>
        <v>Z503B8FE1C</v>
      </c>
      <c r="B2042" s="1" t="str">
        <f t="shared" si="47"/>
        <v>02406911202</v>
      </c>
      <c r="C2042" s="1" t="s">
        <v>13</v>
      </c>
      <c r="D2042" s="1" t="s">
        <v>1253</v>
      </c>
      <c r="E2042" s="1" t="s">
        <v>1254</v>
      </c>
      <c r="F2042" s="1" t="s">
        <v>49</v>
      </c>
      <c r="G2042" s="1" t="str">
        <f>"11489570967"</f>
        <v>11489570967</v>
      </c>
      <c r="I2042" s="1" t="s">
        <v>168</v>
      </c>
      <c r="L2042" s="1" t="s">
        <v>44</v>
      </c>
      <c r="M2042" s="1" t="s">
        <v>1255</v>
      </c>
      <c r="AG2042" s="1" t="s">
        <v>4303</v>
      </c>
      <c r="AH2042" s="2">
        <v>45092</v>
      </c>
      <c r="AI2042" s="2">
        <v>45291</v>
      </c>
      <c r="AJ2042" s="2">
        <v>45092</v>
      </c>
    </row>
    <row r="2043" spans="1:36">
      <c r="A2043" s="1" t="str">
        <f>"98856421DA"</f>
        <v>98856421DA</v>
      </c>
      <c r="B2043" s="1" t="str">
        <f t="shared" si="47"/>
        <v>02406911202</v>
      </c>
      <c r="C2043" s="1" t="s">
        <v>13</v>
      </c>
      <c r="D2043" s="1" t="s">
        <v>37</v>
      </c>
      <c r="E2043" s="1" t="s">
        <v>4304</v>
      </c>
      <c r="F2043" s="1" t="s">
        <v>39</v>
      </c>
      <c r="G2043" s="1" t="str">
        <f>"01847901202"</f>
        <v>01847901202</v>
      </c>
      <c r="I2043" s="1" t="s">
        <v>1612</v>
      </c>
      <c r="L2043" s="1" t="s">
        <v>44</v>
      </c>
      <c r="M2043" s="1" t="s">
        <v>4305</v>
      </c>
      <c r="AG2043" s="1" t="s">
        <v>124</v>
      </c>
      <c r="AH2043" s="2">
        <v>45092</v>
      </c>
      <c r="AI2043" s="2">
        <v>46552</v>
      </c>
      <c r="AJ2043" s="2">
        <v>45092</v>
      </c>
    </row>
    <row r="2044" spans="1:36">
      <c r="A2044" s="1" t="str">
        <f>"Z343A426B2"</f>
        <v>Z343A426B2</v>
      </c>
      <c r="B2044" s="1" t="str">
        <f t="shared" si="47"/>
        <v>02406911202</v>
      </c>
      <c r="C2044" s="1" t="s">
        <v>13</v>
      </c>
      <c r="D2044" s="1" t="s">
        <v>1741</v>
      </c>
      <c r="E2044" s="1" t="s">
        <v>4306</v>
      </c>
      <c r="F2044" s="1" t="s">
        <v>39</v>
      </c>
      <c r="G2044" s="1" t="str">
        <f>"02402870220"</f>
        <v>02402870220</v>
      </c>
      <c r="I2044" s="1" t="s">
        <v>4307</v>
      </c>
      <c r="L2044" s="1" t="s">
        <v>44</v>
      </c>
      <c r="M2044" s="1" t="s">
        <v>4308</v>
      </c>
      <c r="AG2044" s="1" t="s">
        <v>4309</v>
      </c>
      <c r="AH2044" s="2">
        <v>44992</v>
      </c>
      <c r="AI2044" s="2">
        <v>45291</v>
      </c>
      <c r="AJ2044" s="2">
        <v>44992</v>
      </c>
    </row>
    <row r="2045" spans="1:36">
      <c r="A2045" s="1" t="str">
        <f>"Z193AA88B9"</f>
        <v>Z193AA88B9</v>
      </c>
      <c r="B2045" s="1" t="str">
        <f t="shared" si="47"/>
        <v>02406911202</v>
      </c>
      <c r="C2045" s="1" t="s">
        <v>13</v>
      </c>
      <c r="D2045" s="1" t="s">
        <v>1312</v>
      </c>
      <c r="E2045" s="1" t="s">
        <v>4310</v>
      </c>
      <c r="F2045" s="1" t="s">
        <v>49</v>
      </c>
      <c r="G2045" s="1" t="str">
        <f>"00896271004"</f>
        <v>00896271004</v>
      </c>
      <c r="I2045" s="1" t="s">
        <v>4311</v>
      </c>
      <c r="L2045" s="1" t="s">
        <v>44</v>
      </c>
      <c r="M2045" s="1" t="s">
        <v>1314</v>
      </c>
      <c r="AG2045" s="1" t="s">
        <v>4312</v>
      </c>
      <c r="AH2045" s="2">
        <v>45020</v>
      </c>
      <c r="AI2045" s="2">
        <v>45291</v>
      </c>
      <c r="AJ2045" s="2">
        <v>45020</v>
      </c>
    </row>
    <row r="2046" spans="1:36">
      <c r="A2046" s="1" t="str">
        <f>"9677574AB2"</f>
        <v>9677574AB2</v>
      </c>
      <c r="B2046" s="1" t="str">
        <f t="shared" si="47"/>
        <v>02406911202</v>
      </c>
      <c r="C2046" s="1" t="s">
        <v>13</v>
      </c>
      <c r="D2046" s="1" t="s">
        <v>37</v>
      </c>
      <c r="E2046" s="1" t="s">
        <v>4313</v>
      </c>
      <c r="F2046" s="1" t="s">
        <v>117</v>
      </c>
      <c r="G2046" s="1" t="str">
        <f>"00488410010"</f>
        <v>00488410010</v>
      </c>
      <c r="I2046" s="1" t="s">
        <v>1200</v>
      </c>
      <c r="L2046" s="1" t="s">
        <v>44</v>
      </c>
      <c r="M2046" s="1" t="s">
        <v>4314</v>
      </c>
      <c r="AG2046" s="1" t="s">
        <v>4315</v>
      </c>
      <c r="AH2046" s="2">
        <v>44986</v>
      </c>
      <c r="AI2046" s="2">
        <v>46220</v>
      </c>
      <c r="AJ2046" s="2">
        <v>44986</v>
      </c>
    </row>
    <row r="2047" spans="1:36">
      <c r="A2047" s="1" t="str">
        <f>"9718950B40"</f>
        <v>9718950B40</v>
      </c>
      <c r="B2047" s="1" t="str">
        <f t="shared" si="47"/>
        <v>02406911202</v>
      </c>
      <c r="C2047" s="1" t="s">
        <v>13</v>
      </c>
      <c r="D2047" s="1" t="s">
        <v>1312</v>
      </c>
      <c r="E2047" s="1" t="s">
        <v>4316</v>
      </c>
      <c r="F2047" s="1" t="s">
        <v>49</v>
      </c>
      <c r="G2047" s="1" t="str">
        <f>"03095020362"</f>
        <v>03095020362</v>
      </c>
      <c r="I2047" s="1" t="s">
        <v>4317</v>
      </c>
      <c r="L2047" s="1" t="s">
        <v>44</v>
      </c>
      <c r="M2047" s="1" t="s">
        <v>4318</v>
      </c>
      <c r="AG2047" s="1" t="s">
        <v>124</v>
      </c>
      <c r="AH2047" s="2">
        <v>45021</v>
      </c>
      <c r="AI2047" s="2">
        <v>45657</v>
      </c>
      <c r="AJ2047" s="2">
        <v>45021</v>
      </c>
    </row>
    <row r="2048" spans="1:36">
      <c r="A2048" s="1" t="str">
        <f>"9718950B40"</f>
        <v>9718950B40</v>
      </c>
      <c r="B2048" s="1" t="str">
        <f t="shared" si="47"/>
        <v>02406911202</v>
      </c>
      <c r="C2048" s="1" t="s">
        <v>13</v>
      </c>
      <c r="D2048" s="1" t="s">
        <v>1312</v>
      </c>
      <c r="E2048" s="1" t="s">
        <v>4316</v>
      </c>
      <c r="F2048" s="1" t="s">
        <v>49</v>
      </c>
      <c r="G2048" s="1" t="str">
        <f>"02316361209"</f>
        <v>02316361209</v>
      </c>
      <c r="I2048" s="1" t="s">
        <v>4319</v>
      </c>
      <c r="L2048" s="1" t="s">
        <v>41</v>
      </c>
      <c r="AJ2048" s="2">
        <v>45021</v>
      </c>
    </row>
    <row r="2049" spans="1:36">
      <c r="A2049" s="1" t="str">
        <f>"9718950B40"</f>
        <v>9718950B40</v>
      </c>
      <c r="B2049" s="1" t="str">
        <f t="shared" si="47"/>
        <v>02406911202</v>
      </c>
      <c r="C2049" s="1" t="s">
        <v>13</v>
      </c>
      <c r="D2049" s="1" t="s">
        <v>1312</v>
      </c>
      <c r="E2049" s="1" t="s">
        <v>4316</v>
      </c>
      <c r="F2049" s="1" t="s">
        <v>49</v>
      </c>
      <c r="G2049" s="1" t="str">
        <f>"00960900371"</f>
        <v>00960900371</v>
      </c>
      <c r="I2049" s="1" t="s">
        <v>2495</v>
      </c>
      <c r="L2049" s="1" t="s">
        <v>41</v>
      </c>
      <c r="AJ2049" s="2">
        <v>45021</v>
      </c>
    </row>
    <row r="2050" spans="1:36">
      <c r="A2050" s="1" t="str">
        <f>"9718950B40"</f>
        <v>9718950B40</v>
      </c>
      <c r="B2050" s="1" t="str">
        <f t="shared" si="47"/>
        <v>02406911202</v>
      </c>
      <c r="C2050" s="1" t="s">
        <v>13</v>
      </c>
      <c r="D2050" s="1" t="s">
        <v>1312</v>
      </c>
      <c r="E2050" s="1" t="s">
        <v>4316</v>
      </c>
      <c r="F2050" s="1" t="s">
        <v>49</v>
      </c>
      <c r="G2050" s="1" t="str">
        <f>"01703181204"</f>
        <v>01703181204</v>
      </c>
      <c r="I2050" s="1" t="s">
        <v>2750</v>
      </c>
      <c r="L2050" s="1" t="s">
        <v>41</v>
      </c>
      <c r="AJ2050" s="2">
        <v>45021</v>
      </c>
    </row>
    <row r="2051" spans="1:36">
      <c r="A2051" s="1" t="str">
        <f>"ZB53B72A32"</f>
        <v>ZB53B72A32</v>
      </c>
      <c r="B2051" s="1" t="str">
        <f t="shared" si="47"/>
        <v>02406911202</v>
      </c>
      <c r="C2051" s="1" t="s">
        <v>13</v>
      </c>
      <c r="D2051" s="1" t="s">
        <v>1257</v>
      </c>
      <c r="E2051" s="1" t="s">
        <v>4320</v>
      </c>
      <c r="F2051" s="1" t="s">
        <v>49</v>
      </c>
      <c r="G2051" s="1" t="str">
        <f>"05678330829"</f>
        <v>05678330829</v>
      </c>
      <c r="I2051" s="1" t="s">
        <v>3079</v>
      </c>
      <c r="L2051" s="1" t="s">
        <v>44</v>
      </c>
      <c r="M2051" s="1" t="s">
        <v>4321</v>
      </c>
      <c r="AG2051" s="1" t="s">
        <v>124</v>
      </c>
      <c r="AH2051" s="2">
        <v>45083</v>
      </c>
      <c r="AI2051" s="2">
        <v>45542</v>
      </c>
      <c r="AJ2051" s="2">
        <v>45083</v>
      </c>
    </row>
    <row r="2052" spans="1:36">
      <c r="A2052" s="1" t="str">
        <f>"ZA23B764CE"</f>
        <v>ZA23B764CE</v>
      </c>
      <c r="B2052" s="1" t="str">
        <f t="shared" si="47"/>
        <v>02406911202</v>
      </c>
      <c r="C2052" s="1" t="s">
        <v>13</v>
      </c>
      <c r="D2052" s="1" t="s">
        <v>1253</v>
      </c>
      <c r="E2052" s="1" t="s">
        <v>4322</v>
      </c>
      <c r="F2052" s="1" t="s">
        <v>49</v>
      </c>
      <c r="G2052" s="1" t="str">
        <f>"00226250165"</f>
        <v>00226250165</v>
      </c>
      <c r="I2052" s="1" t="s">
        <v>3143</v>
      </c>
      <c r="L2052" s="1" t="s">
        <v>44</v>
      </c>
      <c r="M2052" s="1" t="s">
        <v>1255</v>
      </c>
      <c r="AG2052" s="1" t="s">
        <v>124</v>
      </c>
      <c r="AH2052" s="2">
        <v>45084</v>
      </c>
      <c r="AI2052" s="2">
        <v>45291</v>
      </c>
      <c r="AJ2052" s="2">
        <v>45084</v>
      </c>
    </row>
    <row r="2053" spans="1:36">
      <c r="A2053" s="1" t="str">
        <f>"ZE43B9D290"</f>
        <v>ZE43B9D290</v>
      </c>
      <c r="B2053" s="1" t="str">
        <f t="shared" si="47"/>
        <v>02406911202</v>
      </c>
      <c r="C2053" s="1" t="s">
        <v>13</v>
      </c>
      <c r="D2053" s="1" t="s">
        <v>1312</v>
      </c>
      <c r="E2053" s="1" t="s">
        <v>4323</v>
      </c>
      <c r="F2053" s="1" t="s">
        <v>49</v>
      </c>
      <c r="G2053" s="1" t="str">
        <f>"05083750967"</f>
        <v>05083750967</v>
      </c>
      <c r="I2053" s="1" t="s">
        <v>3990</v>
      </c>
      <c r="L2053" s="1" t="s">
        <v>44</v>
      </c>
      <c r="M2053" s="1" t="s">
        <v>1314</v>
      </c>
      <c r="AG2053" s="1" t="s">
        <v>4324</v>
      </c>
      <c r="AH2053" s="2">
        <v>45097</v>
      </c>
      <c r="AI2053" s="2">
        <v>46022</v>
      </c>
      <c r="AJ2053" s="2">
        <v>45097</v>
      </c>
    </row>
    <row r="2054" spans="1:36">
      <c r="A2054" s="1" t="str">
        <f>"ZB63B9E19E"</f>
        <v>ZB63B9E19E</v>
      </c>
      <c r="B2054" s="1" t="str">
        <f t="shared" ref="B2054:B2117" si="49">"02406911202"</f>
        <v>02406911202</v>
      </c>
      <c r="C2054" s="1" t="s">
        <v>13</v>
      </c>
      <c r="D2054" s="1" t="s">
        <v>1312</v>
      </c>
      <c r="E2054" s="1" t="s">
        <v>4075</v>
      </c>
      <c r="F2054" s="1" t="s">
        <v>49</v>
      </c>
      <c r="G2054" s="1" t="str">
        <f>"06651950013"</f>
        <v>06651950013</v>
      </c>
      <c r="I2054" s="1" t="s">
        <v>4325</v>
      </c>
      <c r="L2054" s="1" t="s">
        <v>44</v>
      </c>
      <c r="M2054" s="1" t="s">
        <v>1314</v>
      </c>
      <c r="AG2054" s="1" t="s">
        <v>124</v>
      </c>
      <c r="AH2054" s="2">
        <v>45097</v>
      </c>
      <c r="AI2054" s="2">
        <v>45291</v>
      </c>
      <c r="AJ2054" s="2">
        <v>45097</v>
      </c>
    </row>
    <row r="2055" spans="1:36">
      <c r="A2055" s="1" t="str">
        <f>"ZED3B9E79E"</f>
        <v>ZED3B9E79E</v>
      </c>
      <c r="B2055" s="1" t="str">
        <f t="shared" si="49"/>
        <v>02406911202</v>
      </c>
      <c r="C2055" s="1" t="s">
        <v>13</v>
      </c>
      <c r="D2055" s="1" t="s">
        <v>1312</v>
      </c>
      <c r="E2055" s="1" t="s">
        <v>4326</v>
      </c>
      <c r="F2055" s="1" t="s">
        <v>49</v>
      </c>
      <c r="G2055" s="1" t="str">
        <f>"00549731206"</f>
        <v>00549731206</v>
      </c>
      <c r="I2055" s="1" t="s">
        <v>1391</v>
      </c>
      <c r="L2055" s="1" t="s">
        <v>44</v>
      </c>
      <c r="M2055" s="1" t="s">
        <v>1314</v>
      </c>
      <c r="AG2055" s="1" t="s">
        <v>124</v>
      </c>
      <c r="AH2055" s="2">
        <v>45097</v>
      </c>
      <c r="AI2055" s="2">
        <v>45463</v>
      </c>
      <c r="AJ2055" s="2">
        <v>45097</v>
      </c>
    </row>
    <row r="2056" spans="1:36">
      <c r="A2056" s="1" t="str">
        <f>"Z1B3BA18E8"</f>
        <v>Z1B3BA18E8</v>
      </c>
      <c r="B2056" s="1" t="str">
        <f t="shared" si="49"/>
        <v>02406911202</v>
      </c>
      <c r="C2056" s="1" t="s">
        <v>13</v>
      </c>
      <c r="D2056" s="1" t="s">
        <v>1253</v>
      </c>
      <c r="E2056" s="1" t="s">
        <v>1262</v>
      </c>
      <c r="F2056" s="1" t="s">
        <v>49</v>
      </c>
      <c r="G2056" s="1" t="str">
        <f>"02707070963"</f>
        <v>02707070963</v>
      </c>
      <c r="I2056" s="1" t="s">
        <v>1675</v>
      </c>
      <c r="L2056" s="1" t="s">
        <v>44</v>
      </c>
      <c r="M2056" s="1" t="s">
        <v>1255</v>
      </c>
      <c r="AG2056" s="1" t="s">
        <v>4327</v>
      </c>
      <c r="AH2056" s="2">
        <v>45098</v>
      </c>
      <c r="AI2056" s="2">
        <v>45291</v>
      </c>
      <c r="AJ2056" s="2">
        <v>45098</v>
      </c>
    </row>
    <row r="2057" spans="1:36">
      <c r="A2057" s="1" t="str">
        <f>"9876084257"</f>
        <v>9876084257</v>
      </c>
      <c r="B2057" s="1" t="str">
        <f t="shared" si="49"/>
        <v>02406911202</v>
      </c>
      <c r="C2057" s="1" t="s">
        <v>13</v>
      </c>
      <c r="D2057" s="1" t="s">
        <v>1253</v>
      </c>
      <c r="E2057" s="1" t="s">
        <v>4328</v>
      </c>
      <c r="F2057" s="1" t="s">
        <v>49</v>
      </c>
      <c r="G2057" s="1" t="str">
        <f>"03680250283"</f>
        <v>03680250283</v>
      </c>
      <c r="I2057" s="1" t="s">
        <v>4329</v>
      </c>
      <c r="L2057" s="1" t="s">
        <v>44</v>
      </c>
      <c r="M2057" s="1" t="s">
        <v>2739</v>
      </c>
      <c r="AG2057" s="1" t="s">
        <v>2355</v>
      </c>
      <c r="AH2057" s="2">
        <v>45098</v>
      </c>
      <c r="AI2057" s="2">
        <v>45291</v>
      </c>
      <c r="AJ2057" s="2">
        <v>45098</v>
      </c>
    </row>
    <row r="2058" spans="1:36">
      <c r="A2058" s="1" t="str">
        <f>"ZAF3BA2F26"</f>
        <v>ZAF3BA2F26</v>
      </c>
      <c r="B2058" s="1" t="str">
        <f t="shared" si="49"/>
        <v>02406911202</v>
      </c>
      <c r="C2058" s="1" t="s">
        <v>13</v>
      </c>
      <c r="D2058" s="1" t="s">
        <v>1312</v>
      </c>
      <c r="E2058" s="1" t="s">
        <v>4330</v>
      </c>
      <c r="F2058" s="1" t="s">
        <v>49</v>
      </c>
      <c r="G2058" s="1" t="str">
        <f>"06912570964"</f>
        <v>06912570964</v>
      </c>
      <c r="I2058" s="1" t="s">
        <v>4331</v>
      </c>
      <c r="L2058" s="1" t="s">
        <v>44</v>
      </c>
      <c r="M2058" s="1" t="s">
        <v>1314</v>
      </c>
      <c r="AG2058" s="1" t="s">
        <v>2144</v>
      </c>
      <c r="AH2058" s="2">
        <v>45098</v>
      </c>
      <c r="AI2058" s="2">
        <v>45657</v>
      </c>
      <c r="AJ2058" s="2">
        <v>45098</v>
      </c>
    </row>
    <row r="2059" spans="1:36">
      <c r="A2059" s="1" t="str">
        <f>"Z173BA324D"</f>
        <v>Z173BA324D</v>
      </c>
      <c r="B2059" s="1" t="str">
        <f t="shared" si="49"/>
        <v>02406911202</v>
      </c>
      <c r="C2059" s="1" t="s">
        <v>13</v>
      </c>
      <c r="D2059" s="1" t="s">
        <v>1253</v>
      </c>
      <c r="E2059" s="1" t="s">
        <v>1325</v>
      </c>
      <c r="F2059" s="1" t="s">
        <v>49</v>
      </c>
      <c r="G2059" s="1" t="str">
        <f>"10329000961"</f>
        <v>10329000961</v>
      </c>
      <c r="I2059" s="1" t="s">
        <v>797</v>
      </c>
      <c r="L2059" s="1" t="s">
        <v>44</v>
      </c>
      <c r="M2059" s="1" t="s">
        <v>153</v>
      </c>
      <c r="AG2059" s="1" t="s">
        <v>4332</v>
      </c>
      <c r="AH2059" s="2">
        <v>45098</v>
      </c>
      <c r="AI2059" s="2">
        <v>45291</v>
      </c>
      <c r="AJ2059" s="2">
        <v>45098</v>
      </c>
    </row>
    <row r="2060" spans="1:36">
      <c r="A2060" s="1" t="str">
        <f>"97755227F2"</f>
        <v>97755227F2</v>
      </c>
      <c r="B2060" s="1" t="str">
        <f t="shared" si="49"/>
        <v>02406911202</v>
      </c>
      <c r="C2060" s="1" t="s">
        <v>13</v>
      </c>
      <c r="D2060" s="1" t="s">
        <v>37</v>
      </c>
      <c r="E2060" s="1" t="s">
        <v>4333</v>
      </c>
      <c r="F2060" s="1" t="s">
        <v>49</v>
      </c>
      <c r="G2060" s="1" t="str">
        <f>"09238800156"</f>
        <v>09238800156</v>
      </c>
      <c r="I2060" s="1" t="s">
        <v>88</v>
      </c>
      <c r="L2060" s="1" t="s">
        <v>44</v>
      </c>
      <c r="M2060" s="1" t="s">
        <v>4334</v>
      </c>
      <c r="AG2060" s="1" t="s">
        <v>124</v>
      </c>
      <c r="AH2060" s="2">
        <v>45044</v>
      </c>
      <c r="AI2060" s="2">
        <v>45230</v>
      </c>
      <c r="AJ2060" s="2">
        <v>45044</v>
      </c>
    </row>
    <row r="2061" spans="1:36">
      <c r="A2061" s="1" t="str">
        <f>"ZAD3B0D644"</f>
        <v>ZAD3B0D644</v>
      </c>
      <c r="B2061" s="1" t="str">
        <f t="shared" si="49"/>
        <v>02406911202</v>
      </c>
      <c r="C2061" s="1" t="s">
        <v>13</v>
      </c>
      <c r="D2061" s="1" t="s">
        <v>1253</v>
      </c>
      <c r="E2061" s="1" t="s">
        <v>1270</v>
      </c>
      <c r="F2061" s="1" t="s">
        <v>49</v>
      </c>
      <c r="G2061" s="1" t="str">
        <f>"00713510154"</f>
        <v>00713510154</v>
      </c>
      <c r="I2061" s="1" t="s">
        <v>1659</v>
      </c>
      <c r="L2061" s="1" t="s">
        <v>44</v>
      </c>
      <c r="M2061" s="1" t="s">
        <v>1255</v>
      </c>
      <c r="AG2061" s="1" t="s">
        <v>4335</v>
      </c>
      <c r="AH2061" s="2">
        <v>45054</v>
      </c>
      <c r="AI2061" s="2">
        <v>45291</v>
      </c>
      <c r="AJ2061" s="2">
        <v>45054</v>
      </c>
    </row>
    <row r="2062" spans="1:36">
      <c r="A2062" s="1" t="str">
        <f>"ZEC3B79A16"</f>
        <v>ZEC3B79A16</v>
      </c>
      <c r="B2062" s="1" t="str">
        <f t="shared" si="49"/>
        <v>02406911202</v>
      </c>
      <c r="C2062" s="1" t="s">
        <v>13</v>
      </c>
      <c r="D2062" s="1" t="s">
        <v>1253</v>
      </c>
      <c r="E2062" s="1" t="s">
        <v>1270</v>
      </c>
      <c r="F2062" s="1" t="s">
        <v>49</v>
      </c>
      <c r="G2062" s="1" t="str">
        <f>"12785290151"</f>
        <v>12785290151</v>
      </c>
      <c r="I2062" s="1" t="s">
        <v>1855</v>
      </c>
      <c r="L2062" s="1" t="s">
        <v>44</v>
      </c>
      <c r="M2062" s="1" t="s">
        <v>4336</v>
      </c>
      <c r="AG2062" s="1" t="s">
        <v>4337</v>
      </c>
      <c r="AH2062" s="2">
        <v>45085</v>
      </c>
      <c r="AI2062" s="2">
        <v>45291</v>
      </c>
      <c r="AJ2062" s="2">
        <v>45085</v>
      </c>
    </row>
    <row r="2063" spans="1:36">
      <c r="A2063" s="1" t="str">
        <f>"9847446184"</f>
        <v>9847446184</v>
      </c>
      <c r="B2063" s="1" t="str">
        <f t="shared" si="49"/>
        <v>02406911202</v>
      </c>
      <c r="C2063" s="1" t="s">
        <v>13</v>
      </c>
      <c r="D2063" s="1" t="s">
        <v>1312</v>
      </c>
      <c r="E2063" s="1" t="s">
        <v>4338</v>
      </c>
      <c r="F2063" s="1" t="s">
        <v>49</v>
      </c>
      <c r="G2063" s="1" t="str">
        <f>"00505090019"</f>
        <v>00505090019</v>
      </c>
      <c r="I2063" s="1" t="s">
        <v>4339</v>
      </c>
      <c r="L2063" s="1" t="s">
        <v>44</v>
      </c>
      <c r="M2063" s="1" t="s">
        <v>4340</v>
      </c>
      <c r="AG2063" s="1" t="s">
        <v>124</v>
      </c>
      <c r="AH2063" s="2">
        <v>45086</v>
      </c>
      <c r="AI2063" s="2">
        <v>45291</v>
      </c>
      <c r="AJ2063" s="2">
        <v>45086</v>
      </c>
    </row>
    <row r="2064" spans="1:36">
      <c r="A2064" s="1" t="str">
        <f>"ZD03B9071E"</f>
        <v>ZD03B9071E</v>
      </c>
      <c r="B2064" s="1" t="str">
        <f t="shared" si="49"/>
        <v>02406911202</v>
      </c>
      <c r="C2064" s="1" t="s">
        <v>13</v>
      </c>
      <c r="D2064" s="1" t="s">
        <v>1312</v>
      </c>
      <c r="E2064" s="1" t="s">
        <v>4341</v>
      </c>
      <c r="F2064" s="1" t="s">
        <v>49</v>
      </c>
      <c r="G2064" s="1" t="str">
        <f>"04717080966"</f>
        <v>04717080966</v>
      </c>
      <c r="I2064" s="1" t="s">
        <v>4342</v>
      </c>
      <c r="L2064" s="1" t="s">
        <v>44</v>
      </c>
      <c r="M2064" s="1" t="s">
        <v>1314</v>
      </c>
      <c r="AG2064" s="1" t="s">
        <v>405</v>
      </c>
      <c r="AH2064" s="2">
        <v>45092</v>
      </c>
      <c r="AI2064" s="2">
        <v>45535</v>
      </c>
      <c r="AJ2064" s="2">
        <v>45092</v>
      </c>
    </row>
    <row r="2065" spans="1:36">
      <c r="A2065" s="1" t="str">
        <f>"9871521CD2"</f>
        <v>9871521CD2</v>
      </c>
      <c r="B2065" s="1" t="str">
        <f t="shared" si="49"/>
        <v>02406911202</v>
      </c>
      <c r="C2065" s="1" t="s">
        <v>13</v>
      </c>
      <c r="D2065" s="1" t="s">
        <v>1312</v>
      </c>
      <c r="E2065" s="1" t="s">
        <v>4343</v>
      </c>
      <c r="F2065" s="1" t="s">
        <v>49</v>
      </c>
      <c r="G2065" s="1" t="str">
        <f>"05096510267"</f>
        <v>05096510267</v>
      </c>
      <c r="I2065" s="1" t="s">
        <v>3095</v>
      </c>
      <c r="L2065" s="1" t="s">
        <v>44</v>
      </c>
      <c r="M2065" s="1" t="s">
        <v>4344</v>
      </c>
      <c r="AG2065" s="1" t="s">
        <v>124</v>
      </c>
      <c r="AH2065" s="2">
        <v>45093</v>
      </c>
      <c r="AI2065" s="2">
        <v>45291</v>
      </c>
      <c r="AJ2065" s="2">
        <v>45093</v>
      </c>
    </row>
    <row r="2066" spans="1:36">
      <c r="A2066" s="1" t="str">
        <f>"ZE33B600C4"</f>
        <v>ZE33B600C4</v>
      </c>
      <c r="B2066" s="1" t="str">
        <f t="shared" si="49"/>
        <v>02406911202</v>
      </c>
      <c r="C2066" s="1" t="s">
        <v>13</v>
      </c>
      <c r="D2066" s="1" t="s">
        <v>1257</v>
      </c>
      <c r="E2066" s="1" t="s">
        <v>4345</v>
      </c>
      <c r="F2066" s="1" t="s">
        <v>49</v>
      </c>
      <c r="G2066" s="1" t="str">
        <f>"04156880371"</f>
        <v>04156880371</v>
      </c>
      <c r="I2066" s="1" t="s">
        <v>1307</v>
      </c>
      <c r="L2066" s="1" t="s">
        <v>44</v>
      </c>
      <c r="M2066" s="1" t="s">
        <v>4346</v>
      </c>
      <c r="AG2066" s="1" t="s">
        <v>124</v>
      </c>
      <c r="AH2066" s="2">
        <v>45078</v>
      </c>
      <c r="AI2066" s="2">
        <v>45096</v>
      </c>
      <c r="AJ2066" s="2">
        <v>45078</v>
      </c>
    </row>
    <row r="2067" spans="1:36">
      <c r="A2067" s="1" t="str">
        <f>"ZC83B9B572"</f>
        <v>ZC83B9B572</v>
      </c>
      <c r="B2067" s="1" t="str">
        <f t="shared" si="49"/>
        <v>02406911202</v>
      </c>
      <c r="C2067" s="1" t="s">
        <v>13</v>
      </c>
      <c r="D2067" s="1" t="s">
        <v>1253</v>
      </c>
      <c r="E2067" s="1" t="s">
        <v>1262</v>
      </c>
      <c r="F2067" s="1" t="s">
        <v>49</v>
      </c>
      <c r="G2067" s="1" t="str">
        <f>"02789580590"</f>
        <v>02789580590</v>
      </c>
      <c r="I2067" s="1" t="s">
        <v>1827</v>
      </c>
      <c r="L2067" s="1" t="s">
        <v>44</v>
      </c>
      <c r="M2067" s="1" t="s">
        <v>1255</v>
      </c>
      <c r="AG2067" s="1" t="s">
        <v>4347</v>
      </c>
      <c r="AH2067" s="2">
        <v>45096</v>
      </c>
      <c r="AI2067" s="2">
        <v>45291</v>
      </c>
      <c r="AJ2067" s="2">
        <v>45096</v>
      </c>
    </row>
    <row r="2068" spans="1:36">
      <c r="A2068" s="1" t="str">
        <f>"ZB83B9C6B4"</f>
        <v>ZB83B9C6B4</v>
      </c>
      <c r="B2068" s="1" t="str">
        <f t="shared" si="49"/>
        <v>02406911202</v>
      </c>
      <c r="C2068" s="1" t="s">
        <v>13</v>
      </c>
      <c r="D2068" s="1" t="s">
        <v>1253</v>
      </c>
      <c r="E2068" s="1" t="s">
        <v>1262</v>
      </c>
      <c r="F2068" s="1" t="s">
        <v>49</v>
      </c>
      <c r="G2068" s="1" t="str">
        <f>"03296950151"</f>
        <v>03296950151</v>
      </c>
      <c r="I2068" s="1" t="s">
        <v>3189</v>
      </c>
      <c r="L2068" s="1" t="s">
        <v>44</v>
      </c>
      <c r="M2068" s="1" t="s">
        <v>1255</v>
      </c>
      <c r="AG2068" s="1" t="s">
        <v>4348</v>
      </c>
      <c r="AH2068" s="2">
        <v>45097</v>
      </c>
      <c r="AI2068" s="2">
        <v>45291</v>
      </c>
      <c r="AJ2068" s="2">
        <v>45097</v>
      </c>
    </row>
    <row r="2069" spans="1:36">
      <c r="A2069" s="1" t="str">
        <f>"Z4B3B9C6BD"</f>
        <v>Z4B3B9C6BD</v>
      </c>
      <c r="B2069" s="1" t="str">
        <f t="shared" si="49"/>
        <v>02406911202</v>
      </c>
      <c r="C2069" s="1" t="s">
        <v>13</v>
      </c>
      <c r="D2069" s="1" t="s">
        <v>1253</v>
      </c>
      <c r="E2069" s="1" t="s">
        <v>1262</v>
      </c>
      <c r="F2069" s="1" t="s">
        <v>49</v>
      </c>
      <c r="G2069" s="1" t="str">
        <f>"04516021005"</f>
        <v>04516021005</v>
      </c>
      <c r="I2069" s="1" t="s">
        <v>3175</v>
      </c>
      <c r="L2069" s="1" t="s">
        <v>44</v>
      </c>
      <c r="M2069" s="1" t="s">
        <v>153</v>
      </c>
      <c r="AG2069" s="1" t="s">
        <v>4349</v>
      </c>
      <c r="AH2069" s="2">
        <v>45097</v>
      </c>
      <c r="AI2069" s="2">
        <v>45291</v>
      </c>
      <c r="AJ2069" s="2">
        <v>45097</v>
      </c>
    </row>
    <row r="2070" spans="1:36">
      <c r="A2070" s="1" t="str">
        <f>"Z713AD2983"</f>
        <v>Z713AD2983</v>
      </c>
      <c r="B2070" s="1" t="str">
        <f t="shared" si="49"/>
        <v>02406911202</v>
      </c>
      <c r="C2070" s="1" t="s">
        <v>13</v>
      </c>
      <c r="D2070" s="1" t="s">
        <v>1253</v>
      </c>
      <c r="E2070" s="1" t="s">
        <v>1270</v>
      </c>
      <c r="F2070" s="1" t="s">
        <v>49</v>
      </c>
      <c r="G2070" s="1" t="str">
        <f>"12792100153"</f>
        <v>12792100153</v>
      </c>
      <c r="I2070" s="1" t="s">
        <v>803</v>
      </c>
      <c r="L2070" s="1" t="s">
        <v>44</v>
      </c>
      <c r="M2070" s="1" t="s">
        <v>1255</v>
      </c>
      <c r="AG2070" s="1" t="s">
        <v>4350</v>
      </c>
      <c r="AH2070" s="2">
        <v>45034</v>
      </c>
      <c r="AI2070" s="2">
        <v>45291</v>
      </c>
      <c r="AJ2070" s="2">
        <v>45034</v>
      </c>
    </row>
    <row r="2071" spans="1:36">
      <c r="A2071" s="1" t="str">
        <f>"Z683AE531C"</f>
        <v>Z683AE531C</v>
      </c>
      <c r="B2071" s="1" t="str">
        <f t="shared" si="49"/>
        <v>02406911202</v>
      </c>
      <c r="C2071" s="1" t="s">
        <v>13</v>
      </c>
      <c r="D2071" s="1" t="s">
        <v>1253</v>
      </c>
      <c r="E2071" s="1" t="s">
        <v>4351</v>
      </c>
      <c r="F2071" s="1" t="s">
        <v>49</v>
      </c>
      <c r="G2071" s="1" t="str">
        <f>"11206730159"</f>
        <v>11206730159</v>
      </c>
      <c r="I2071" s="1" t="s">
        <v>192</v>
      </c>
      <c r="L2071" s="1" t="s">
        <v>44</v>
      </c>
      <c r="M2071" s="1" t="s">
        <v>1255</v>
      </c>
      <c r="AG2071" s="1" t="s">
        <v>4352</v>
      </c>
      <c r="AH2071" s="2">
        <v>45042</v>
      </c>
      <c r="AI2071" s="2">
        <v>45291</v>
      </c>
      <c r="AJ2071" s="2">
        <v>45042</v>
      </c>
    </row>
    <row r="2072" spans="1:36">
      <c r="A2072" s="1" t="str">
        <f>"Z113ADC601"</f>
        <v>Z113ADC601</v>
      </c>
      <c r="B2072" s="1" t="str">
        <f t="shared" si="49"/>
        <v>02406911202</v>
      </c>
      <c r="C2072" s="1" t="s">
        <v>13</v>
      </c>
      <c r="D2072" s="1" t="s">
        <v>1253</v>
      </c>
      <c r="E2072" s="1" t="s">
        <v>1254</v>
      </c>
      <c r="F2072" s="1" t="s">
        <v>49</v>
      </c>
      <c r="G2072" s="1" t="str">
        <f>"02136540230"</f>
        <v>02136540230</v>
      </c>
      <c r="I2072" s="1" t="s">
        <v>4353</v>
      </c>
      <c r="L2072" s="1" t="s">
        <v>44</v>
      </c>
      <c r="M2072" s="1" t="s">
        <v>1255</v>
      </c>
      <c r="AG2072" s="1" t="s">
        <v>4354</v>
      </c>
      <c r="AH2072" s="2">
        <v>45042</v>
      </c>
      <c r="AI2072" s="2">
        <v>45291</v>
      </c>
      <c r="AJ2072" s="2">
        <v>45042</v>
      </c>
    </row>
    <row r="2073" spans="1:36">
      <c r="A2073" s="1" t="str">
        <f>"Z983AEA89A"</f>
        <v>Z983AEA89A</v>
      </c>
      <c r="B2073" s="1" t="str">
        <f t="shared" si="49"/>
        <v>02406911202</v>
      </c>
      <c r="C2073" s="1" t="s">
        <v>13</v>
      </c>
      <c r="D2073" s="1" t="s">
        <v>1312</v>
      </c>
      <c r="E2073" s="1" t="s">
        <v>4355</v>
      </c>
      <c r="F2073" s="1" t="s">
        <v>49</v>
      </c>
      <c r="G2073" s="1" t="str">
        <f>"02471550265"</f>
        <v>02471550265</v>
      </c>
      <c r="I2073" s="1" t="s">
        <v>4356</v>
      </c>
      <c r="L2073" s="1" t="s">
        <v>44</v>
      </c>
      <c r="M2073" s="1" t="s">
        <v>1314</v>
      </c>
      <c r="AG2073" s="1" t="s">
        <v>4357</v>
      </c>
      <c r="AH2073" s="2">
        <v>45042</v>
      </c>
      <c r="AI2073" s="2">
        <v>46022</v>
      </c>
      <c r="AJ2073" s="2">
        <v>45042</v>
      </c>
    </row>
    <row r="2074" spans="1:36">
      <c r="A2074" s="1" t="str">
        <f>"Z6A3AEEC9A"</f>
        <v>Z6A3AEEC9A</v>
      </c>
      <c r="B2074" s="1" t="str">
        <f t="shared" si="49"/>
        <v>02406911202</v>
      </c>
      <c r="C2074" s="1" t="s">
        <v>13</v>
      </c>
      <c r="D2074" s="1" t="s">
        <v>1253</v>
      </c>
      <c r="E2074" s="1" t="s">
        <v>1262</v>
      </c>
      <c r="F2074" s="1" t="s">
        <v>49</v>
      </c>
      <c r="G2074" s="1" t="str">
        <f>"10863670153"</f>
        <v>10863670153</v>
      </c>
      <c r="I2074" s="1" t="s">
        <v>4358</v>
      </c>
      <c r="L2074" s="1" t="s">
        <v>44</v>
      </c>
      <c r="M2074" s="1" t="s">
        <v>153</v>
      </c>
      <c r="AG2074" s="1" t="s">
        <v>4359</v>
      </c>
      <c r="AH2074" s="2">
        <v>45043</v>
      </c>
      <c r="AI2074" s="2">
        <v>45291</v>
      </c>
      <c r="AJ2074" s="2">
        <v>45043</v>
      </c>
    </row>
    <row r="2075" spans="1:36">
      <c r="A2075" s="1" t="str">
        <f>"ZDC3B72ED3"</f>
        <v>ZDC3B72ED3</v>
      </c>
      <c r="B2075" s="1" t="str">
        <f t="shared" si="49"/>
        <v>02406911202</v>
      </c>
      <c r="C2075" s="1" t="s">
        <v>13</v>
      </c>
      <c r="D2075" s="1" t="s">
        <v>205</v>
      </c>
      <c r="E2075" s="1" t="s">
        <v>4360</v>
      </c>
      <c r="F2075" s="1" t="s">
        <v>49</v>
      </c>
      <c r="G2075" s="1" t="str">
        <f>"03128791203"</f>
        <v>03128791203</v>
      </c>
      <c r="I2075" s="1" t="s">
        <v>3276</v>
      </c>
      <c r="L2075" s="1" t="s">
        <v>44</v>
      </c>
      <c r="M2075" s="1" t="s">
        <v>4361</v>
      </c>
      <c r="AG2075" s="1" t="s">
        <v>4361</v>
      </c>
      <c r="AH2075" s="2">
        <v>44927</v>
      </c>
      <c r="AI2075" s="2">
        <v>45291</v>
      </c>
      <c r="AJ2075" s="2">
        <v>44927</v>
      </c>
    </row>
    <row r="2076" spans="1:36">
      <c r="A2076" s="1" t="str">
        <f>"Z6B3B80B5E"</f>
        <v>Z6B3B80B5E</v>
      </c>
      <c r="B2076" s="1" t="str">
        <f t="shared" si="49"/>
        <v>02406911202</v>
      </c>
      <c r="C2076" s="1" t="s">
        <v>13</v>
      </c>
      <c r="D2076" s="1" t="s">
        <v>1253</v>
      </c>
      <c r="E2076" s="1" t="s">
        <v>1262</v>
      </c>
      <c r="F2076" s="1" t="s">
        <v>49</v>
      </c>
      <c r="G2076" s="1" t="str">
        <f>"02789580590"</f>
        <v>02789580590</v>
      </c>
      <c r="I2076" s="1" t="s">
        <v>1827</v>
      </c>
      <c r="L2076" s="1" t="s">
        <v>44</v>
      </c>
      <c r="M2076" s="1" t="s">
        <v>1255</v>
      </c>
      <c r="AG2076" s="1" t="s">
        <v>4362</v>
      </c>
      <c r="AH2076" s="2">
        <v>45086</v>
      </c>
      <c r="AI2076" s="2">
        <v>45291</v>
      </c>
      <c r="AJ2076" s="2">
        <v>45086</v>
      </c>
    </row>
    <row r="2077" spans="1:36">
      <c r="A2077" s="1" t="str">
        <f>"ZF03B98566"</f>
        <v>ZF03B98566</v>
      </c>
      <c r="B2077" s="1" t="str">
        <f t="shared" si="49"/>
        <v>02406911202</v>
      </c>
      <c r="C2077" s="1" t="s">
        <v>13</v>
      </c>
      <c r="D2077" s="1" t="s">
        <v>1253</v>
      </c>
      <c r="E2077" s="1" t="s">
        <v>1325</v>
      </c>
      <c r="F2077" s="1" t="s">
        <v>49</v>
      </c>
      <c r="G2077" s="1" t="str">
        <f>"00777280157"</f>
        <v>00777280157</v>
      </c>
      <c r="I2077" s="1" t="s">
        <v>2528</v>
      </c>
      <c r="L2077" s="1" t="s">
        <v>44</v>
      </c>
      <c r="M2077" s="1" t="s">
        <v>4336</v>
      </c>
      <c r="AG2077" s="1" t="s">
        <v>4363</v>
      </c>
      <c r="AH2077" s="2">
        <v>45096</v>
      </c>
      <c r="AI2077" s="2">
        <v>45291</v>
      </c>
      <c r="AJ2077" s="2">
        <v>45096</v>
      </c>
    </row>
    <row r="2078" spans="1:36">
      <c r="A2078" s="1" t="str">
        <f>"Z7F3B99310"</f>
        <v>Z7F3B99310</v>
      </c>
      <c r="B2078" s="1" t="str">
        <f t="shared" si="49"/>
        <v>02406911202</v>
      </c>
      <c r="C2078" s="1" t="s">
        <v>13</v>
      </c>
      <c r="D2078" s="1" t="s">
        <v>1312</v>
      </c>
      <c r="E2078" s="1" t="s">
        <v>4364</v>
      </c>
      <c r="F2078" s="1" t="s">
        <v>49</v>
      </c>
      <c r="G2078" s="1" t="str">
        <f>"00805390283"</f>
        <v>00805390283</v>
      </c>
      <c r="I2078" s="1" t="s">
        <v>3576</v>
      </c>
      <c r="L2078" s="1" t="s">
        <v>44</v>
      </c>
      <c r="M2078" s="1" t="s">
        <v>1314</v>
      </c>
      <c r="AG2078" s="1" t="s">
        <v>4365</v>
      </c>
      <c r="AH2078" s="2">
        <v>45096</v>
      </c>
      <c r="AI2078" s="2">
        <v>46022</v>
      </c>
      <c r="AJ2078" s="2">
        <v>45096</v>
      </c>
    </row>
    <row r="2079" spans="1:36">
      <c r="A2079" s="1" t="str">
        <f>"ZC43B9B072"</f>
        <v>ZC43B9B072</v>
      </c>
      <c r="B2079" s="1" t="str">
        <f t="shared" si="49"/>
        <v>02406911202</v>
      </c>
      <c r="C2079" s="1" t="s">
        <v>13</v>
      </c>
      <c r="D2079" s="1" t="s">
        <v>1253</v>
      </c>
      <c r="E2079" s="1" t="s">
        <v>1260</v>
      </c>
      <c r="F2079" s="1" t="s">
        <v>49</v>
      </c>
      <c r="G2079" s="1" t="str">
        <f>"03190411201"</f>
        <v>03190411201</v>
      </c>
      <c r="I2079" s="1" t="s">
        <v>4366</v>
      </c>
      <c r="L2079" s="1" t="s">
        <v>44</v>
      </c>
      <c r="M2079" s="1" t="s">
        <v>1255</v>
      </c>
      <c r="AG2079" s="1" t="s">
        <v>1946</v>
      </c>
      <c r="AH2079" s="2">
        <v>45096</v>
      </c>
      <c r="AI2079" s="2">
        <v>45291</v>
      </c>
      <c r="AJ2079" s="2">
        <v>45096</v>
      </c>
    </row>
    <row r="2080" spans="1:36">
      <c r="A2080" s="1" t="str">
        <f>"ZA73B9B36A"</f>
        <v>ZA73B9B36A</v>
      </c>
      <c r="B2080" s="1" t="str">
        <f t="shared" si="49"/>
        <v>02406911202</v>
      </c>
      <c r="C2080" s="1" t="s">
        <v>13</v>
      </c>
      <c r="D2080" s="1" t="s">
        <v>1253</v>
      </c>
      <c r="E2080" s="1" t="s">
        <v>3083</v>
      </c>
      <c r="F2080" s="1" t="s">
        <v>49</v>
      </c>
      <c r="G2080" s="1" t="str">
        <f>"01258691003"</f>
        <v>01258691003</v>
      </c>
      <c r="I2080" s="1" t="s">
        <v>2027</v>
      </c>
      <c r="L2080" s="1" t="s">
        <v>44</v>
      </c>
      <c r="M2080" s="1" t="s">
        <v>1255</v>
      </c>
      <c r="AG2080" s="1" t="s">
        <v>3084</v>
      </c>
      <c r="AH2080" s="2">
        <v>45096</v>
      </c>
      <c r="AI2080" s="2">
        <v>45291</v>
      </c>
      <c r="AJ2080" s="2">
        <v>45096</v>
      </c>
    </row>
    <row r="2081" spans="1:36">
      <c r="A2081" s="1" t="str">
        <f>"Z243BB832A"</f>
        <v>Z243BB832A</v>
      </c>
      <c r="B2081" s="1" t="str">
        <f t="shared" si="49"/>
        <v>02406911202</v>
      </c>
      <c r="C2081" s="1" t="s">
        <v>13</v>
      </c>
      <c r="D2081" s="1" t="s">
        <v>1312</v>
      </c>
      <c r="E2081" s="1" t="s">
        <v>4367</v>
      </c>
      <c r="F2081" s="1" t="s">
        <v>49</v>
      </c>
      <c r="G2081" s="1" t="str">
        <f>"09018810151"</f>
        <v>09018810151</v>
      </c>
      <c r="I2081" s="1" t="s">
        <v>1542</v>
      </c>
      <c r="L2081" s="1" t="s">
        <v>44</v>
      </c>
      <c r="M2081" s="1" t="s">
        <v>1314</v>
      </c>
      <c r="AG2081" s="1" t="s">
        <v>124</v>
      </c>
      <c r="AH2081" s="2">
        <v>45105</v>
      </c>
      <c r="AI2081" s="2">
        <v>45322</v>
      </c>
      <c r="AJ2081" s="2">
        <v>45105</v>
      </c>
    </row>
    <row r="2082" spans="1:36">
      <c r="A2082" s="1" t="str">
        <f>"Z453BC31C2"</f>
        <v>Z453BC31C2</v>
      </c>
      <c r="B2082" s="1" t="str">
        <f t="shared" si="49"/>
        <v>02406911202</v>
      </c>
      <c r="C2082" s="1" t="s">
        <v>13</v>
      </c>
      <c r="D2082" s="1" t="s">
        <v>1253</v>
      </c>
      <c r="E2082" s="1" t="s">
        <v>1260</v>
      </c>
      <c r="F2082" s="1" t="s">
        <v>49</v>
      </c>
      <c r="G2082" s="1" t="str">
        <f>"12259760150"</f>
        <v>12259760150</v>
      </c>
      <c r="I2082" s="1" t="s">
        <v>1605</v>
      </c>
      <c r="L2082" s="1" t="s">
        <v>44</v>
      </c>
      <c r="M2082" s="1" t="s">
        <v>1255</v>
      </c>
      <c r="AG2082" s="1" t="s">
        <v>124</v>
      </c>
      <c r="AH2082" s="2">
        <v>45107</v>
      </c>
      <c r="AI2082" s="2">
        <v>45291</v>
      </c>
      <c r="AJ2082" s="2">
        <v>45107</v>
      </c>
    </row>
    <row r="2083" spans="1:36">
      <c r="A2083" s="1" t="str">
        <f>"Z3F3BC40CF"</f>
        <v>Z3F3BC40CF</v>
      </c>
      <c r="B2083" s="1" t="str">
        <f t="shared" si="49"/>
        <v>02406911202</v>
      </c>
      <c r="C2083" s="1" t="s">
        <v>13</v>
      </c>
      <c r="D2083" s="1" t="s">
        <v>1312</v>
      </c>
      <c r="E2083" s="1" t="s">
        <v>4368</v>
      </c>
      <c r="F2083" s="1" t="s">
        <v>49</v>
      </c>
      <c r="G2083" s="1" t="str">
        <f>"00131840357"</f>
        <v>00131840357</v>
      </c>
      <c r="I2083" s="1" t="s">
        <v>4369</v>
      </c>
      <c r="L2083" s="1" t="s">
        <v>44</v>
      </c>
      <c r="M2083" s="1" t="s">
        <v>1735</v>
      </c>
      <c r="AG2083" s="1" t="s">
        <v>124</v>
      </c>
      <c r="AH2083" s="2">
        <v>45107</v>
      </c>
      <c r="AI2083" s="2">
        <v>45291</v>
      </c>
      <c r="AJ2083" s="2">
        <v>45107</v>
      </c>
    </row>
    <row r="2084" spans="1:36">
      <c r="A2084" s="1" t="str">
        <f>"Z903A913DD"</f>
        <v>Z903A913DD</v>
      </c>
      <c r="B2084" s="1" t="str">
        <f t="shared" si="49"/>
        <v>02406911202</v>
      </c>
      <c r="C2084" s="1" t="s">
        <v>13</v>
      </c>
      <c r="D2084" s="1" t="s">
        <v>1257</v>
      </c>
      <c r="E2084" s="1" t="s">
        <v>4370</v>
      </c>
      <c r="F2084" s="1" t="s">
        <v>49</v>
      </c>
      <c r="G2084" s="1" t="str">
        <f>"02084790340"</f>
        <v>02084790340</v>
      </c>
      <c r="I2084" s="1" t="s">
        <v>1498</v>
      </c>
      <c r="L2084" s="1" t="s">
        <v>44</v>
      </c>
      <c r="M2084" s="1" t="s">
        <v>4371</v>
      </c>
      <c r="AG2084" s="1" t="s">
        <v>4371</v>
      </c>
      <c r="AH2084" s="2">
        <v>45013</v>
      </c>
      <c r="AI2084" s="2">
        <v>45090</v>
      </c>
      <c r="AJ2084" s="2">
        <v>45013</v>
      </c>
    </row>
    <row r="2085" spans="1:36">
      <c r="A2085" s="1" t="str">
        <f>"Z903A913DD"</f>
        <v>Z903A913DD</v>
      </c>
      <c r="B2085" s="1" t="str">
        <f t="shared" si="49"/>
        <v>02406911202</v>
      </c>
      <c r="C2085" s="1" t="s">
        <v>13</v>
      </c>
      <c r="D2085" s="1" t="s">
        <v>1257</v>
      </c>
      <c r="E2085" s="1" t="s">
        <v>4370</v>
      </c>
      <c r="F2085" s="1" t="s">
        <v>49</v>
      </c>
      <c r="G2085" s="1" t="str">
        <f>"02704520341"</f>
        <v>02704520341</v>
      </c>
      <c r="I2085" s="1" t="s">
        <v>1429</v>
      </c>
      <c r="L2085" s="1" t="s">
        <v>41</v>
      </c>
      <c r="AJ2085" s="2">
        <v>45013</v>
      </c>
    </row>
    <row r="2086" spans="1:36">
      <c r="A2086" s="1" t="str">
        <f>"Z543A8FFC5"</f>
        <v>Z543A8FFC5</v>
      </c>
      <c r="B2086" s="1" t="str">
        <f t="shared" si="49"/>
        <v>02406911202</v>
      </c>
      <c r="C2086" s="1" t="s">
        <v>13</v>
      </c>
      <c r="D2086" s="1" t="s">
        <v>1253</v>
      </c>
      <c r="E2086" s="1" t="s">
        <v>1387</v>
      </c>
      <c r="F2086" s="1" t="s">
        <v>49</v>
      </c>
      <c r="G2086" s="1" t="str">
        <f>"08023050969"</f>
        <v>08023050969</v>
      </c>
      <c r="I2086" s="1" t="s">
        <v>1622</v>
      </c>
      <c r="L2086" s="1" t="s">
        <v>44</v>
      </c>
      <c r="M2086" s="1" t="s">
        <v>1255</v>
      </c>
      <c r="AG2086" s="1" t="s">
        <v>4372</v>
      </c>
      <c r="AH2086" s="2">
        <v>45013</v>
      </c>
      <c r="AI2086" s="2">
        <v>45291</v>
      </c>
      <c r="AJ2086" s="2">
        <v>45013</v>
      </c>
    </row>
    <row r="2087" spans="1:36">
      <c r="A2087" s="1" t="str">
        <f>"Z4A3A940BA"</f>
        <v>Z4A3A940BA</v>
      </c>
      <c r="B2087" s="1" t="str">
        <f t="shared" si="49"/>
        <v>02406911202</v>
      </c>
      <c r="C2087" s="1" t="s">
        <v>13</v>
      </c>
      <c r="D2087" s="1" t="s">
        <v>1257</v>
      </c>
      <c r="E2087" s="1" t="s">
        <v>4373</v>
      </c>
      <c r="F2087" s="1" t="s">
        <v>49</v>
      </c>
      <c r="G2087" s="1" t="str">
        <f>"11325690151"</f>
        <v>11325690151</v>
      </c>
      <c r="I2087" s="1" t="s">
        <v>4374</v>
      </c>
      <c r="L2087" s="1" t="s">
        <v>44</v>
      </c>
      <c r="M2087" s="1" t="s">
        <v>946</v>
      </c>
      <c r="AG2087" s="1" t="s">
        <v>124</v>
      </c>
      <c r="AH2087" s="2">
        <v>45014</v>
      </c>
      <c r="AI2087" s="2">
        <v>45291</v>
      </c>
      <c r="AJ2087" s="2">
        <v>45014</v>
      </c>
    </row>
    <row r="2088" spans="1:36">
      <c r="A2088" s="1" t="str">
        <f>"Z943AAD213"</f>
        <v>Z943AAD213</v>
      </c>
      <c r="B2088" s="1" t="str">
        <f t="shared" si="49"/>
        <v>02406911202</v>
      </c>
      <c r="C2088" s="1" t="s">
        <v>13</v>
      </c>
      <c r="D2088" s="1" t="s">
        <v>1253</v>
      </c>
      <c r="E2088" s="1" t="s">
        <v>1260</v>
      </c>
      <c r="F2088" s="1" t="s">
        <v>49</v>
      </c>
      <c r="G2088" s="1" t="str">
        <f>"02803471206"</f>
        <v>02803471206</v>
      </c>
      <c r="I2088" s="1" t="s">
        <v>1638</v>
      </c>
      <c r="L2088" s="1" t="s">
        <v>44</v>
      </c>
      <c r="M2088" s="1" t="s">
        <v>1255</v>
      </c>
      <c r="AG2088" s="1" t="s">
        <v>4375</v>
      </c>
      <c r="AH2088" s="2">
        <v>45021</v>
      </c>
      <c r="AI2088" s="2">
        <v>45291</v>
      </c>
      <c r="AJ2088" s="2">
        <v>45021</v>
      </c>
    </row>
    <row r="2089" spans="1:36">
      <c r="A2089" s="1" t="str">
        <f>"ZCC3AD3D23"</f>
        <v>ZCC3AD3D23</v>
      </c>
      <c r="B2089" s="1" t="str">
        <f t="shared" si="49"/>
        <v>02406911202</v>
      </c>
      <c r="C2089" s="1" t="s">
        <v>13</v>
      </c>
      <c r="D2089" s="1" t="s">
        <v>1253</v>
      </c>
      <c r="E2089" s="1" t="s">
        <v>1254</v>
      </c>
      <c r="F2089" s="1" t="s">
        <v>49</v>
      </c>
      <c r="G2089" s="1" t="str">
        <f>"03597020373"</f>
        <v>03597020373</v>
      </c>
      <c r="I2089" s="1" t="s">
        <v>920</v>
      </c>
      <c r="L2089" s="1" t="s">
        <v>44</v>
      </c>
      <c r="M2089" s="1" t="s">
        <v>1255</v>
      </c>
      <c r="AG2089" s="1" t="s">
        <v>4376</v>
      </c>
      <c r="AH2089" s="2">
        <v>45034</v>
      </c>
      <c r="AI2089" s="2">
        <v>45291</v>
      </c>
      <c r="AJ2089" s="2">
        <v>45034</v>
      </c>
    </row>
    <row r="2090" spans="1:36">
      <c r="A2090" s="1" t="str">
        <f>"ZF93AD3E7B"</f>
        <v>ZF93AD3E7B</v>
      </c>
      <c r="B2090" s="1" t="str">
        <f t="shared" si="49"/>
        <v>02406911202</v>
      </c>
      <c r="C2090" s="1" t="s">
        <v>13</v>
      </c>
      <c r="D2090" s="1" t="s">
        <v>1253</v>
      </c>
      <c r="E2090" s="1" t="s">
        <v>4377</v>
      </c>
      <c r="F2090" s="1" t="s">
        <v>49</v>
      </c>
      <c r="G2090" s="1" t="str">
        <f>"02173550282"</f>
        <v>02173550282</v>
      </c>
      <c r="I2090" s="1" t="s">
        <v>634</v>
      </c>
      <c r="L2090" s="1" t="s">
        <v>44</v>
      </c>
      <c r="M2090" s="1" t="s">
        <v>1255</v>
      </c>
      <c r="AG2090" s="1" t="s">
        <v>4378</v>
      </c>
      <c r="AH2090" s="2">
        <v>45034</v>
      </c>
      <c r="AI2090" s="2">
        <v>45291</v>
      </c>
      <c r="AJ2090" s="2">
        <v>45034</v>
      </c>
    </row>
    <row r="2091" spans="1:36">
      <c r="A2091" s="1" t="str">
        <f>"Z103B9D345"</f>
        <v>Z103B9D345</v>
      </c>
      <c r="B2091" s="1" t="str">
        <f t="shared" si="49"/>
        <v>02406911202</v>
      </c>
      <c r="C2091" s="1" t="s">
        <v>13</v>
      </c>
      <c r="D2091" s="1" t="s">
        <v>205</v>
      </c>
      <c r="E2091" s="1" t="s">
        <v>4379</v>
      </c>
      <c r="F2091" s="1" t="s">
        <v>39</v>
      </c>
      <c r="G2091" s="1" t="str">
        <f>"02718421205"</f>
        <v>02718421205</v>
      </c>
      <c r="I2091" s="1" t="s">
        <v>2157</v>
      </c>
      <c r="L2091" s="1" t="s">
        <v>44</v>
      </c>
      <c r="M2091" s="1" t="s">
        <v>103</v>
      </c>
      <c r="AG2091" s="1" t="s">
        <v>124</v>
      </c>
      <c r="AH2091" s="2">
        <v>45078</v>
      </c>
      <c r="AI2091" s="2">
        <v>45291</v>
      </c>
      <c r="AJ2091" s="2">
        <v>45078</v>
      </c>
    </row>
    <row r="2092" spans="1:36">
      <c r="A2092" s="1" t="str">
        <f>"Z6C3B9D77A"</f>
        <v>Z6C3B9D77A</v>
      </c>
      <c r="B2092" s="1" t="str">
        <f t="shared" si="49"/>
        <v>02406911202</v>
      </c>
      <c r="C2092" s="1" t="s">
        <v>13</v>
      </c>
      <c r="D2092" s="1" t="s">
        <v>1253</v>
      </c>
      <c r="E2092" s="1" t="s">
        <v>1260</v>
      </c>
      <c r="F2092" s="1" t="s">
        <v>49</v>
      </c>
      <c r="G2092" s="1" t="str">
        <f>"02803471206"</f>
        <v>02803471206</v>
      </c>
      <c r="I2092" s="1" t="s">
        <v>1638</v>
      </c>
      <c r="L2092" s="1" t="s">
        <v>44</v>
      </c>
      <c r="M2092" s="1" t="s">
        <v>1255</v>
      </c>
      <c r="AG2092" s="1" t="s">
        <v>1319</v>
      </c>
      <c r="AH2092" s="2">
        <v>45097</v>
      </c>
      <c r="AI2092" s="2">
        <v>45291</v>
      </c>
      <c r="AJ2092" s="2">
        <v>45097</v>
      </c>
    </row>
    <row r="2093" spans="1:36">
      <c r="A2093" s="1" t="str">
        <f>"Z7C3B9E3A2"</f>
        <v>Z7C3B9E3A2</v>
      </c>
      <c r="B2093" s="1" t="str">
        <f t="shared" si="49"/>
        <v>02406911202</v>
      </c>
      <c r="C2093" s="1" t="s">
        <v>13</v>
      </c>
      <c r="D2093" s="1" t="s">
        <v>1741</v>
      </c>
      <c r="E2093" s="1" t="s">
        <v>4380</v>
      </c>
      <c r="F2093" s="1" t="s">
        <v>49</v>
      </c>
      <c r="G2093" s="1" t="str">
        <f>"03593680378"</f>
        <v>03593680378</v>
      </c>
      <c r="I2093" s="1" t="s">
        <v>432</v>
      </c>
      <c r="L2093" s="1" t="s">
        <v>44</v>
      </c>
      <c r="M2093" s="1" t="s">
        <v>405</v>
      </c>
      <c r="AG2093" s="1" t="s">
        <v>405</v>
      </c>
      <c r="AH2093" s="2">
        <v>45097</v>
      </c>
      <c r="AI2093" s="2">
        <v>45291</v>
      </c>
      <c r="AJ2093" s="2">
        <v>45097</v>
      </c>
    </row>
    <row r="2094" spans="1:36">
      <c r="A2094" s="1" t="str">
        <f>"Z5F3B9E890"</f>
        <v>Z5F3B9E890</v>
      </c>
      <c r="B2094" s="1" t="str">
        <f t="shared" si="49"/>
        <v>02406911202</v>
      </c>
      <c r="C2094" s="1" t="s">
        <v>13</v>
      </c>
      <c r="D2094" s="1" t="s">
        <v>1253</v>
      </c>
      <c r="E2094" s="1" t="s">
        <v>3227</v>
      </c>
      <c r="F2094" s="1" t="s">
        <v>49</v>
      </c>
      <c r="H2094" s="1" t="str">
        <f>"152434145"</f>
        <v>152434145</v>
      </c>
      <c r="I2094" s="1" t="s">
        <v>4381</v>
      </c>
      <c r="L2094" s="1" t="s">
        <v>44</v>
      </c>
      <c r="M2094" s="1" t="s">
        <v>1255</v>
      </c>
      <c r="AG2094" s="1" t="s">
        <v>4382</v>
      </c>
      <c r="AH2094" s="2">
        <v>45097</v>
      </c>
      <c r="AI2094" s="2">
        <v>45291</v>
      </c>
      <c r="AJ2094" s="2">
        <v>45097</v>
      </c>
    </row>
    <row r="2095" spans="1:36">
      <c r="A2095" s="1" t="str">
        <f>"Z183B9F7BE"</f>
        <v>Z183B9F7BE</v>
      </c>
      <c r="B2095" s="1" t="str">
        <f t="shared" si="49"/>
        <v>02406911202</v>
      </c>
      <c r="C2095" s="1" t="s">
        <v>13</v>
      </c>
      <c r="D2095" s="1" t="s">
        <v>1253</v>
      </c>
      <c r="E2095" s="1" t="s">
        <v>1270</v>
      </c>
      <c r="F2095" s="1" t="s">
        <v>49</v>
      </c>
      <c r="G2095" s="1" t="str">
        <f>"02705540165"</f>
        <v>02705540165</v>
      </c>
      <c r="I2095" s="1" t="s">
        <v>1268</v>
      </c>
      <c r="L2095" s="1" t="s">
        <v>44</v>
      </c>
      <c r="M2095" s="1" t="s">
        <v>153</v>
      </c>
      <c r="AG2095" s="1" t="s">
        <v>4383</v>
      </c>
      <c r="AH2095" s="2">
        <v>45097</v>
      </c>
      <c r="AI2095" s="2">
        <v>45291</v>
      </c>
      <c r="AJ2095" s="2">
        <v>45097</v>
      </c>
    </row>
    <row r="2096" spans="1:36">
      <c r="A2096" s="1" t="str">
        <f>"Z373B9F746"</f>
        <v>Z373B9F746</v>
      </c>
      <c r="B2096" s="1" t="str">
        <f t="shared" si="49"/>
        <v>02406911202</v>
      </c>
      <c r="C2096" s="1" t="s">
        <v>13</v>
      </c>
      <c r="D2096" s="1" t="s">
        <v>1257</v>
      </c>
      <c r="E2096" s="1" t="s">
        <v>4384</v>
      </c>
      <c r="F2096" s="1" t="s">
        <v>49</v>
      </c>
      <c r="G2096" s="1" t="str">
        <f>"10181220152"</f>
        <v>10181220152</v>
      </c>
      <c r="I2096" s="1" t="s">
        <v>1779</v>
      </c>
      <c r="L2096" s="1" t="s">
        <v>44</v>
      </c>
      <c r="M2096" s="1" t="s">
        <v>509</v>
      </c>
      <c r="AG2096" s="1" t="s">
        <v>124</v>
      </c>
      <c r="AH2096" s="2">
        <v>45097</v>
      </c>
      <c r="AI2096" s="2">
        <v>45291</v>
      </c>
      <c r="AJ2096" s="2">
        <v>45097</v>
      </c>
    </row>
    <row r="2097" spans="1:36">
      <c r="A2097" s="1" t="str">
        <f>"ZD33B9F824"</f>
        <v>ZD33B9F824</v>
      </c>
      <c r="B2097" s="1" t="str">
        <f t="shared" si="49"/>
        <v>02406911202</v>
      </c>
      <c r="C2097" s="1" t="s">
        <v>13</v>
      </c>
      <c r="D2097" s="1" t="s">
        <v>1257</v>
      </c>
      <c r="E2097" s="1" t="s">
        <v>4385</v>
      </c>
      <c r="F2097" s="1" t="s">
        <v>49</v>
      </c>
      <c r="G2097" s="1" t="str">
        <f>"02503150373"</f>
        <v>02503150373</v>
      </c>
      <c r="I2097" s="1" t="s">
        <v>2197</v>
      </c>
      <c r="L2097" s="1" t="s">
        <v>44</v>
      </c>
      <c r="M2097" s="1" t="s">
        <v>4386</v>
      </c>
      <c r="AG2097" s="1" t="s">
        <v>124</v>
      </c>
      <c r="AH2097" s="2">
        <v>45097</v>
      </c>
      <c r="AI2097" s="2">
        <v>45133</v>
      </c>
      <c r="AJ2097" s="2">
        <v>45097</v>
      </c>
    </row>
    <row r="2098" spans="1:36">
      <c r="A2098" s="1" t="str">
        <f>"ZD33B9F824"</f>
        <v>ZD33B9F824</v>
      </c>
      <c r="B2098" s="1" t="str">
        <f t="shared" si="49"/>
        <v>02406911202</v>
      </c>
      <c r="C2098" s="1" t="s">
        <v>13</v>
      </c>
      <c r="D2098" s="1" t="s">
        <v>1257</v>
      </c>
      <c r="E2098" s="1" t="s">
        <v>4385</v>
      </c>
      <c r="F2098" s="1" t="s">
        <v>49</v>
      </c>
      <c r="G2098" s="1" t="str">
        <f>"00615700374"</f>
        <v>00615700374</v>
      </c>
      <c r="I2098" s="1" t="s">
        <v>1453</v>
      </c>
      <c r="L2098" s="1" t="s">
        <v>41</v>
      </c>
      <c r="AJ2098" s="2">
        <v>45097</v>
      </c>
    </row>
    <row r="2099" spans="1:36">
      <c r="A2099" s="1" t="str">
        <f t="shared" ref="A2099:A2106" si="50">"ZF53B9F87B"</f>
        <v>ZF53B9F87B</v>
      </c>
      <c r="B2099" s="1" t="str">
        <f t="shared" si="49"/>
        <v>02406911202</v>
      </c>
      <c r="C2099" s="1" t="s">
        <v>13</v>
      </c>
      <c r="D2099" s="1" t="s">
        <v>1257</v>
      </c>
      <c r="E2099" s="1" t="s">
        <v>4387</v>
      </c>
      <c r="F2099" s="1" t="s">
        <v>49</v>
      </c>
      <c r="G2099" s="1" t="str">
        <f>"00615700374"</f>
        <v>00615700374</v>
      </c>
      <c r="I2099" s="1" t="s">
        <v>1453</v>
      </c>
      <c r="L2099" s="1" t="s">
        <v>44</v>
      </c>
      <c r="M2099" s="1" t="s">
        <v>4388</v>
      </c>
      <c r="AG2099" s="1" t="s">
        <v>124</v>
      </c>
      <c r="AH2099" s="2">
        <v>45097</v>
      </c>
      <c r="AI2099" s="2">
        <v>45865</v>
      </c>
      <c r="AJ2099" s="2">
        <v>45097</v>
      </c>
    </row>
    <row r="2100" spans="1:36">
      <c r="A2100" s="1" t="str">
        <f t="shared" si="50"/>
        <v>ZF53B9F87B</v>
      </c>
      <c r="B2100" s="1" t="str">
        <f t="shared" si="49"/>
        <v>02406911202</v>
      </c>
      <c r="C2100" s="1" t="s">
        <v>13</v>
      </c>
      <c r="D2100" s="1" t="s">
        <v>1257</v>
      </c>
      <c r="E2100" s="1" t="s">
        <v>4387</v>
      </c>
      <c r="F2100" s="1" t="s">
        <v>49</v>
      </c>
      <c r="G2100" s="1" t="str">
        <f>"00306090515"</f>
        <v>00306090515</v>
      </c>
      <c r="I2100" s="1" t="s">
        <v>4389</v>
      </c>
      <c r="L2100" s="1" t="s">
        <v>41</v>
      </c>
      <c r="AJ2100" s="2">
        <v>45097</v>
      </c>
    </row>
    <row r="2101" spans="1:36">
      <c r="A2101" s="1" t="str">
        <f t="shared" si="50"/>
        <v>ZF53B9F87B</v>
      </c>
      <c r="B2101" s="1" t="str">
        <f t="shared" si="49"/>
        <v>02406911202</v>
      </c>
      <c r="C2101" s="1" t="s">
        <v>13</v>
      </c>
      <c r="D2101" s="1" t="s">
        <v>1257</v>
      </c>
      <c r="E2101" s="1" t="s">
        <v>4387</v>
      </c>
      <c r="F2101" s="1" t="s">
        <v>49</v>
      </c>
      <c r="G2101" s="1" t="str">
        <f>"02019210364"</f>
        <v>02019210364</v>
      </c>
      <c r="I2101" s="1" t="s">
        <v>4276</v>
      </c>
      <c r="L2101" s="1" t="s">
        <v>41</v>
      </c>
      <c r="AJ2101" s="2">
        <v>45097</v>
      </c>
    </row>
    <row r="2102" spans="1:36">
      <c r="A2102" s="1" t="str">
        <f t="shared" si="50"/>
        <v>ZF53B9F87B</v>
      </c>
      <c r="B2102" s="1" t="str">
        <f t="shared" si="49"/>
        <v>02406911202</v>
      </c>
      <c r="C2102" s="1" t="s">
        <v>13</v>
      </c>
      <c r="D2102" s="1" t="s">
        <v>1257</v>
      </c>
      <c r="E2102" s="1" t="s">
        <v>4387</v>
      </c>
      <c r="F2102" s="1" t="s">
        <v>49</v>
      </c>
      <c r="G2102" s="1" t="str">
        <f>"11861240155"</f>
        <v>11861240155</v>
      </c>
      <c r="I2102" s="1" t="s">
        <v>4390</v>
      </c>
      <c r="L2102" s="1" t="s">
        <v>41</v>
      </c>
      <c r="AJ2102" s="2">
        <v>45097</v>
      </c>
    </row>
    <row r="2103" spans="1:36">
      <c r="A2103" s="1" t="str">
        <f t="shared" si="50"/>
        <v>ZF53B9F87B</v>
      </c>
      <c r="B2103" s="1" t="str">
        <f t="shared" si="49"/>
        <v>02406911202</v>
      </c>
      <c r="C2103" s="1" t="s">
        <v>13</v>
      </c>
      <c r="D2103" s="1" t="s">
        <v>1257</v>
      </c>
      <c r="E2103" s="1" t="s">
        <v>4387</v>
      </c>
      <c r="F2103" s="1" t="s">
        <v>49</v>
      </c>
      <c r="G2103" s="1" t="str">
        <f>"02032400265"</f>
        <v>02032400265</v>
      </c>
      <c r="I2103" s="1" t="s">
        <v>2152</v>
      </c>
      <c r="L2103" s="1" t="s">
        <v>41</v>
      </c>
      <c r="AJ2103" s="2">
        <v>45097</v>
      </c>
    </row>
    <row r="2104" spans="1:36">
      <c r="A2104" s="1" t="str">
        <f t="shared" si="50"/>
        <v>ZF53B9F87B</v>
      </c>
      <c r="B2104" s="1" t="str">
        <f t="shared" si="49"/>
        <v>02406911202</v>
      </c>
      <c r="C2104" s="1" t="s">
        <v>13</v>
      </c>
      <c r="D2104" s="1" t="s">
        <v>1257</v>
      </c>
      <c r="E2104" s="1" t="s">
        <v>4387</v>
      </c>
      <c r="F2104" s="1" t="s">
        <v>49</v>
      </c>
      <c r="G2104" s="1" t="str">
        <f>"02704520341"</f>
        <v>02704520341</v>
      </c>
      <c r="I2104" s="1" t="s">
        <v>1429</v>
      </c>
      <c r="L2104" s="1" t="s">
        <v>41</v>
      </c>
      <c r="AJ2104" s="2">
        <v>45097</v>
      </c>
    </row>
    <row r="2105" spans="1:36">
      <c r="A2105" s="1" t="str">
        <f t="shared" si="50"/>
        <v>ZF53B9F87B</v>
      </c>
      <c r="B2105" s="1" t="str">
        <f t="shared" si="49"/>
        <v>02406911202</v>
      </c>
      <c r="C2105" s="1" t="s">
        <v>13</v>
      </c>
      <c r="D2105" s="1" t="s">
        <v>1257</v>
      </c>
      <c r="E2105" s="1" t="s">
        <v>4387</v>
      </c>
      <c r="F2105" s="1" t="s">
        <v>49</v>
      </c>
      <c r="G2105" s="1" t="str">
        <f>"02373581202"</f>
        <v>02373581202</v>
      </c>
      <c r="I2105" s="1" t="s">
        <v>1405</v>
      </c>
      <c r="L2105" s="1" t="s">
        <v>41</v>
      </c>
      <c r="AJ2105" s="2">
        <v>45097</v>
      </c>
    </row>
    <row r="2106" spans="1:36">
      <c r="A2106" s="1" t="str">
        <f t="shared" si="50"/>
        <v>ZF53B9F87B</v>
      </c>
      <c r="B2106" s="1" t="str">
        <f t="shared" si="49"/>
        <v>02406911202</v>
      </c>
      <c r="C2106" s="1" t="s">
        <v>13</v>
      </c>
      <c r="D2106" s="1" t="s">
        <v>1257</v>
      </c>
      <c r="E2106" s="1" t="s">
        <v>4387</v>
      </c>
      <c r="F2106" s="1" t="s">
        <v>49</v>
      </c>
      <c r="G2106" s="1" t="str">
        <f>"07249200960"</f>
        <v>07249200960</v>
      </c>
      <c r="I2106" s="1" t="s">
        <v>2959</v>
      </c>
      <c r="L2106" s="1" t="s">
        <v>41</v>
      </c>
      <c r="AJ2106" s="2">
        <v>45097</v>
      </c>
    </row>
    <row r="2107" spans="1:36">
      <c r="A2107" s="1" t="str">
        <f>"Z8C3B9F89D"</f>
        <v>Z8C3B9F89D</v>
      </c>
      <c r="B2107" s="1" t="str">
        <f t="shared" si="49"/>
        <v>02406911202</v>
      </c>
      <c r="C2107" s="1" t="s">
        <v>13</v>
      </c>
      <c r="D2107" s="1" t="s">
        <v>1257</v>
      </c>
      <c r="E2107" s="1" t="s">
        <v>4391</v>
      </c>
      <c r="F2107" s="1" t="s">
        <v>49</v>
      </c>
      <c r="G2107" s="1" t="str">
        <f>"02704520341"</f>
        <v>02704520341</v>
      </c>
      <c r="I2107" s="1" t="s">
        <v>1429</v>
      </c>
      <c r="L2107" s="1" t="s">
        <v>44</v>
      </c>
      <c r="M2107" s="1" t="s">
        <v>4392</v>
      </c>
      <c r="AG2107" s="1" t="s">
        <v>124</v>
      </c>
      <c r="AH2107" s="2">
        <v>45097</v>
      </c>
      <c r="AI2107" s="2">
        <v>45835</v>
      </c>
      <c r="AJ2107" s="2">
        <v>45097</v>
      </c>
    </row>
    <row r="2108" spans="1:36">
      <c r="A2108" s="1" t="str">
        <f>"Z8C3B9F89D"</f>
        <v>Z8C3B9F89D</v>
      </c>
      <c r="B2108" s="1" t="str">
        <f t="shared" si="49"/>
        <v>02406911202</v>
      </c>
      <c r="C2108" s="1" t="s">
        <v>13</v>
      </c>
      <c r="D2108" s="1" t="s">
        <v>1257</v>
      </c>
      <c r="E2108" s="1" t="s">
        <v>4391</v>
      </c>
      <c r="F2108" s="1" t="s">
        <v>49</v>
      </c>
      <c r="G2108" s="1" t="str">
        <f>"01059590107"</f>
        <v>01059590107</v>
      </c>
      <c r="I2108" s="1" t="s">
        <v>4035</v>
      </c>
      <c r="L2108" s="1" t="s">
        <v>41</v>
      </c>
      <c r="AJ2108" s="2">
        <v>45097</v>
      </c>
    </row>
    <row r="2109" spans="1:36">
      <c r="A2109" s="1" t="str">
        <f t="shared" ref="A2109:A2115" si="51">"Z063B9F8C6"</f>
        <v>Z063B9F8C6</v>
      </c>
      <c r="B2109" s="1" t="str">
        <f t="shared" si="49"/>
        <v>02406911202</v>
      </c>
      <c r="C2109" s="1" t="s">
        <v>13</v>
      </c>
      <c r="D2109" s="1" t="s">
        <v>1257</v>
      </c>
      <c r="E2109" s="1" t="s">
        <v>4393</v>
      </c>
      <c r="F2109" s="1" t="s">
        <v>49</v>
      </c>
      <c r="G2109" s="1" t="str">
        <f>"02221860345"</f>
        <v>02221860345</v>
      </c>
      <c r="I2109" s="1" t="s">
        <v>4394</v>
      </c>
      <c r="L2109" s="1" t="s">
        <v>44</v>
      </c>
      <c r="M2109" s="1" t="s">
        <v>4073</v>
      </c>
      <c r="AG2109" s="1" t="s">
        <v>124</v>
      </c>
      <c r="AH2109" s="2">
        <v>45097</v>
      </c>
      <c r="AI2109" s="2">
        <v>45835</v>
      </c>
      <c r="AJ2109" s="2">
        <v>45097</v>
      </c>
    </row>
    <row r="2110" spans="1:36">
      <c r="A2110" s="1" t="str">
        <f t="shared" si="51"/>
        <v>Z063B9F8C6</v>
      </c>
      <c r="B2110" s="1" t="str">
        <f t="shared" si="49"/>
        <v>02406911202</v>
      </c>
      <c r="C2110" s="1" t="s">
        <v>13</v>
      </c>
      <c r="D2110" s="1" t="s">
        <v>1257</v>
      </c>
      <c r="E2110" s="1" t="s">
        <v>4393</v>
      </c>
      <c r="F2110" s="1" t="s">
        <v>49</v>
      </c>
      <c r="G2110" s="1" t="str">
        <f>"01847901202"</f>
        <v>01847901202</v>
      </c>
      <c r="I2110" s="1" t="s">
        <v>1612</v>
      </c>
      <c r="L2110" s="1" t="s">
        <v>41</v>
      </c>
      <c r="AJ2110" s="2">
        <v>45097</v>
      </c>
    </row>
    <row r="2111" spans="1:36">
      <c r="A2111" s="1" t="str">
        <f t="shared" si="51"/>
        <v>Z063B9F8C6</v>
      </c>
      <c r="B2111" s="1" t="str">
        <f t="shared" si="49"/>
        <v>02406911202</v>
      </c>
      <c r="C2111" s="1" t="s">
        <v>13</v>
      </c>
      <c r="D2111" s="1" t="s">
        <v>1257</v>
      </c>
      <c r="E2111" s="1" t="s">
        <v>4393</v>
      </c>
      <c r="F2111" s="1" t="s">
        <v>49</v>
      </c>
      <c r="G2111" s="1" t="str">
        <f>"01059590107"</f>
        <v>01059590107</v>
      </c>
      <c r="I2111" s="1" t="s">
        <v>4035</v>
      </c>
      <c r="L2111" s="1" t="s">
        <v>41</v>
      </c>
      <c r="AJ2111" s="2">
        <v>45097</v>
      </c>
    </row>
    <row r="2112" spans="1:36">
      <c r="A2112" s="1" t="str">
        <f t="shared" si="51"/>
        <v>Z063B9F8C6</v>
      </c>
      <c r="B2112" s="1" t="str">
        <f t="shared" si="49"/>
        <v>02406911202</v>
      </c>
      <c r="C2112" s="1" t="s">
        <v>13</v>
      </c>
      <c r="D2112" s="1" t="s">
        <v>1257</v>
      </c>
      <c r="E2112" s="1" t="s">
        <v>4393</v>
      </c>
      <c r="F2112" s="1" t="s">
        <v>49</v>
      </c>
      <c r="G2112" s="1" t="str">
        <f>"05067060011"</f>
        <v>05067060011</v>
      </c>
      <c r="I2112" s="1" t="s">
        <v>1365</v>
      </c>
      <c r="L2112" s="1" t="s">
        <v>41</v>
      </c>
      <c r="AJ2112" s="2">
        <v>45097</v>
      </c>
    </row>
    <row r="2113" spans="1:36">
      <c r="A2113" s="1" t="str">
        <f t="shared" si="51"/>
        <v>Z063B9F8C6</v>
      </c>
      <c r="B2113" s="1" t="str">
        <f t="shared" si="49"/>
        <v>02406911202</v>
      </c>
      <c r="C2113" s="1" t="s">
        <v>13</v>
      </c>
      <c r="D2113" s="1" t="s">
        <v>1257</v>
      </c>
      <c r="E2113" s="1" t="s">
        <v>4393</v>
      </c>
      <c r="F2113" s="1" t="s">
        <v>49</v>
      </c>
      <c r="G2113" s="1" t="str">
        <f>"05424020963"</f>
        <v>05424020963</v>
      </c>
      <c r="I2113" s="1" t="s">
        <v>1995</v>
      </c>
      <c r="L2113" s="1" t="s">
        <v>41</v>
      </c>
      <c r="AJ2113" s="2">
        <v>45097</v>
      </c>
    </row>
    <row r="2114" spans="1:36">
      <c r="A2114" s="1" t="str">
        <f t="shared" si="51"/>
        <v>Z063B9F8C6</v>
      </c>
      <c r="B2114" s="1" t="str">
        <f t="shared" si="49"/>
        <v>02406911202</v>
      </c>
      <c r="C2114" s="1" t="s">
        <v>13</v>
      </c>
      <c r="D2114" s="1" t="s">
        <v>1257</v>
      </c>
      <c r="E2114" s="1" t="s">
        <v>4393</v>
      </c>
      <c r="F2114" s="1" t="s">
        <v>49</v>
      </c>
      <c r="G2114" s="1" t="str">
        <f>"09058160152"</f>
        <v>09058160152</v>
      </c>
      <c r="I2114" s="1" t="s">
        <v>1357</v>
      </c>
      <c r="L2114" s="1" t="s">
        <v>41</v>
      </c>
      <c r="AJ2114" s="2">
        <v>45097</v>
      </c>
    </row>
    <row r="2115" spans="1:36">
      <c r="A2115" s="1" t="str">
        <f t="shared" si="51"/>
        <v>Z063B9F8C6</v>
      </c>
      <c r="B2115" s="1" t="str">
        <f t="shared" si="49"/>
        <v>02406911202</v>
      </c>
      <c r="C2115" s="1" t="s">
        <v>13</v>
      </c>
      <c r="D2115" s="1" t="s">
        <v>1257</v>
      </c>
      <c r="E2115" s="1" t="s">
        <v>4393</v>
      </c>
      <c r="F2115" s="1" t="s">
        <v>49</v>
      </c>
      <c r="G2115" s="1" t="str">
        <f>"02704520341"</f>
        <v>02704520341</v>
      </c>
      <c r="I2115" s="1" t="s">
        <v>1429</v>
      </c>
      <c r="L2115" s="1" t="s">
        <v>41</v>
      </c>
      <c r="AJ2115" s="2">
        <v>45097</v>
      </c>
    </row>
    <row r="2116" spans="1:36">
      <c r="A2116" s="1" t="str">
        <f>"Z863B9F8F5"</f>
        <v>Z863B9F8F5</v>
      </c>
      <c r="B2116" s="1" t="str">
        <f t="shared" si="49"/>
        <v>02406911202</v>
      </c>
      <c r="C2116" s="1" t="s">
        <v>13</v>
      </c>
      <c r="D2116" s="1" t="s">
        <v>1257</v>
      </c>
      <c r="E2116" s="1" t="s">
        <v>4395</v>
      </c>
      <c r="F2116" s="1" t="s">
        <v>49</v>
      </c>
      <c r="G2116" s="1" t="str">
        <f>"00687430199"</f>
        <v>00687430199</v>
      </c>
      <c r="I2116" s="1" t="s">
        <v>4396</v>
      </c>
      <c r="L2116" s="1" t="s">
        <v>44</v>
      </c>
      <c r="M2116" s="1" t="s">
        <v>86</v>
      </c>
      <c r="AG2116" s="1" t="s">
        <v>124</v>
      </c>
      <c r="AH2116" s="2">
        <v>45097</v>
      </c>
      <c r="AI2116" s="2">
        <v>45104</v>
      </c>
      <c r="AJ2116" s="2">
        <v>45097</v>
      </c>
    </row>
    <row r="2117" spans="1:36">
      <c r="A2117" s="1" t="str">
        <f>"Z863B9F8F5"</f>
        <v>Z863B9F8F5</v>
      </c>
      <c r="B2117" s="1" t="str">
        <f t="shared" si="49"/>
        <v>02406911202</v>
      </c>
      <c r="C2117" s="1" t="s">
        <v>13</v>
      </c>
      <c r="D2117" s="1" t="s">
        <v>1257</v>
      </c>
      <c r="E2117" s="1" t="s">
        <v>4395</v>
      </c>
      <c r="F2117" s="1" t="s">
        <v>49</v>
      </c>
      <c r="G2117" s="1" t="str">
        <f>"02084790340"</f>
        <v>02084790340</v>
      </c>
      <c r="I2117" s="1" t="s">
        <v>1498</v>
      </c>
      <c r="L2117" s="1" t="s">
        <v>41</v>
      </c>
      <c r="AJ2117" s="2">
        <v>45097</v>
      </c>
    </row>
    <row r="2118" spans="1:36">
      <c r="A2118" s="1" t="str">
        <f>"Z863B9F8F5"</f>
        <v>Z863B9F8F5</v>
      </c>
      <c r="B2118" s="1" t="str">
        <f t="shared" ref="B2118:B2181" si="52">"02406911202"</f>
        <v>02406911202</v>
      </c>
      <c r="C2118" s="1" t="s">
        <v>13</v>
      </c>
      <c r="D2118" s="1" t="s">
        <v>1257</v>
      </c>
      <c r="E2118" s="1" t="s">
        <v>4395</v>
      </c>
      <c r="F2118" s="1" t="s">
        <v>49</v>
      </c>
      <c r="G2118" s="1" t="str">
        <f>"01925460022"</f>
        <v>01925460022</v>
      </c>
      <c r="I2118" s="1" t="s">
        <v>4397</v>
      </c>
      <c r="L2118" s="1" t="s">
        <v>41</v>
      </c>
      <c r="AJ2118" s="2">
        <v>45097</v>
      </c>
    </row>
    <row r="2119" spans="1:36">
      <c r="A2119" s="1" t="str">
        <f>"ZDF3A9EB4A"</f>
        <v>ZDF3A9EB4A</v>
      </c>
      <c r="B2119" s="1" t="str">
        <f t="shared" si="52"/>
        <v>02406911202</v>
      </c>
      <c r="C2119" s="1" t="s">
        <v>13</v>
      </c>
      <c r="D2119" s="1" t="s">
        <v>1253</v>
      </c>
      <c r="E2119" s="1" t="s">
        <v>1254</v>
      </c>
      <c r="F2119" s="1" t="s">
        <v>49</v>
      </c>
      <c r="G2119" s="1" t="str">
        <f>"06349620960"</f>
        <v>06349620960</v>
      </c>
      <c r="I2119" s="1" t="s">
        <v>2679</v>
      </c>
      <c r="L2119" s="1" t="s">
        <v>44</v>
      </c>
      <c r="M2119" s="1" t="s">
        <v>1255</v>
      </c>
      <c r="AG2119" s="1" t="s">
        <v>2565</v>
      </c>
      <c r="AH2119" s="2">
        <v>45016</v>
      </c>
      <c r="AI2119" s="2">
        <v>45291</v>
      </c>
      <c r="AJ2119" s="2">
        <v>45016</v>
      </c>
    </row>
    <row r="2120" spans="1:36">
      <c r="A2120" s="1" t="str">
        <f>"Z453AB0B38"</f>
        <v>Z453AB0B38</v>
      </c>
      <c r="B2120" s="1" t="str">
        <f t="shared" si="52"/>
        <v>02406911202</v>
      </c>
      <c r="C2120" s="1" t="s">
        <v>13</v>
      </c>
      <c r="D2120" s="1" t="s">
        <v>1741</v>
      </c>
      <c r="E2120" s="1" t="s">
        <v>4398</v>
      </c>
      <c r="F2120" s="1" t="s">
        <v>49</v>
      </c>
      <c r="G2120" s="1" t="str">
        <f>"00740430335"</f>
        <v>00740430335</v>
      </c>
      <c r="I2120" s="1" t="s">
        <v>1888</v>
      </c>
      <c r="L2120" s="1" t="s">
        <v>44</v>
      </c>
      <c r="M2120" s="1" t="s">
        <v>4399</v>
      </c>
      <c r="AG2120" s="1" t="s">
        <v>4399</v>
      </c>
      <c r="AH2120" s="2">
        <v>45021</v>
      </c>
      <c r="AI2120" s="2">
        <v>45291</v>
      </c>
      <c r="AJ2120" s="2">
        <v>45021</v>
      </c>
    </row>
    <row r="2121" spans="1:36">
      <c r="A2121" s="1" t="str">
        <f>"Z223AC220B"</f>
        <v>Z223AC220B</v>
      </c>
      <c r="B2121" s="1" t="str">
        <f t="shared" si="52"/>
        <v>02406911202</v>
      </c>
      <c r="C2121" s="1" t="s">
        <v>13</v>
      </c>
      <c r="D2121" s="1" t="s">
        <v>1253</v>
      </c>
      <c r="E2121" s="1" t="s">
        <v>1254</v>
      </c>
      <c r="F2121" s="1" t="s">
        <v>49</v>
      </c>
      <c r="G2121" s="1" t="str">
        <f>"02804530968"</f>
        <v>02804530968</v>
      </c>
      <c r="I2121" s="1" t="s">
        <v>1599</v>
      </c>
      <c r="L2121" s="1" t="s">
        <v>44</v>
      </c>
      <c r="M2121" s="1" t="s">
        <v>1255</v>
      </c>
      <c r="AG2121" s="1" t="s">
        <v>4400</v>
      </c>
      <c r="AH2121" s="2">
        <v>45029</v>
      </c>
      <c r="AI2121" s="2">
        <v>45291</v>
      </c>
      <c r="AJ2121" s="2">
        <v>45029</v>
      </c>
    </row>
    <row r="2122" spans="1:36">
      <c r="A2122" s="1" t="str">
        <f>"ZC03AE2A1E"</f>
        <v>ZC03AE2A1E</v>
      </c>
      <c r="B2122" s="1" t="str">
        <f t="shared" si="52"/>
        <v>02406911202</v>
      </c>
      <c r="C2122" s="1" t="s">
        <v>13</v>
      </c>
      <c r="D2122" s="1" t="s">
        <v>1253</v>
      </c>
      <c r="E2122" s="1" t="s">
        <v>1270</v>
      </c>
      <c r="F2122" s="1" t="s">
        <v>49</v>
      </c>
      <c r="G2122" s="1" t="str">
        <f>"02829240155"</f>
        <v>02829240155</v>
      </c>
      <c r="I2122" s="1" t="s">
        <v>4155</v>
      </c>
      <c r="L2122" s="1" t="s">
        <v>44</v>
      </c>
      <c r="M2122" s="1" t="s">
        <v>1255</v>
      </c>
      <c r="AG2122" s="1" t="s">
        <v>4401</v>
      </c>
      <c r="AH2122" s="2">
        <v>45037</v>
      </c>
      <c r="AI2122" s="2">
        <v>45291</v>
      </c>
      <c r="AJ2122" s="2">
        <v>45037</v>
      </c>
    </row>
    <row r="2123" spans="1:36">
      <c r="A2123" s="1" t="str">
        <f>"Z4E3B00841"</f>
        <v>Z4E3B00841</v>
      </c>
      <c r="B2123" s="1" t="str">
        <f t="shared" si="52"/>
        <v>02406911202</v>
      </c>
      <c r="C2123" s="1" t="s">
        <v>13</v>
      </c>
      <c r="D2123" s="1" t="s">
        <v>205</v>
      </c>
      <c r="E2123" s="1" t="s">
        <v>4402</v>
      </c>
      <c r="F2123" s="1" t="s">
        <v>49</v>
      </c>
      <c r="G2123" s="1" t="str">
        <f>"01809291204"</f>
        <v>01809291204</v>
      </c>
      <c r="I2123" s="1" t="s">
        <v>3993</v>
      </c>
      <c r="L2123" s="1" t="s">
        <v>44</v>
      </c>
      <c r="M2123" s="1" t="s">
        <v>4403</v>
      </c>
      <c r="AG2123" s="1" t="s">
        <v>4404</v>
      </c>
      <c r="AH2123" s="2">
        <v>44927</v>
      </c>
      <c r="AI2123" s="2">
        <v>45291</v>
      </c>
      <c r="AJ2123" s="2">
        <v>44927</v>
      </c>
    </row>
    <row r="2124" spans="1:36">
      <c r="A2124" s="1" t="str">
        <f>"ZD73B009E2"</f>
        <v>ZD73B009E2</v>
      </c>
      <c r="B2124" s="1" t="str">
        <f t="shared" si="52"/>
        <v>02406911202</v>
      </c>
      <c r="C2124" s="1" t="s">
        <v>13</v>
      </c>
      <c r="D2124" s="1" t="s">
        <v>205</v>
      </c>
      <c r="E2124" s="1" t="s">
        <v>4405</v>
      </c>
      <c r="F2124" s="1" t="s">
        <v>49</v>
      </c>
      <c r="G2124" s="1" t="str">
        <f>"01844201200"</f>
        <v>01844201200</v>
      </c>
      <c r="I2124" s="1" t="s">
        <v>4406</v>
      </c>
      <c r="L2124" s="1" t="s">
        <v>44</v>
      </c>
      <c r="M2124" s="1" t="s">
        <v>4407</v>
      </c>
      <c r="AG2124" s="1" t="s">
        <v>4408</v>
      </c>
      <c r="AH2124" s="2">
        <v>44927</v>
      </c>
      <c r="AI2124" s="2">
        <v>45291</v>
      </c>
      <c r="AJ2124" s="2">
        <v>44927</v>
      </c>
    </row>
    <row r="2125" spans="1:36">
      <c r="A2125" s="1" t="str">
        <f>"ZF73B1250A"</f>
        <v>ZF73B1250A</v>
      </c>
      <c r="B2125" s="1" t="str">
        <f t="shared" si="52"/>
        <v>02406911202</v>
      </c>
      <c r="C2125" s="1" t="s">
        <v>13</v>
      </c>
      <c r="D2125" s="1" t="s">
        <v>205</v>
      </c>
      <c r="E2125" s="1" t="s">
        <v>4409</v>
      </c>
      <c r="F2125" s="1" t="s">
        <v>49</v>
      </c>
      <c r="G2125" s="1" t="str">
        <f>"04079431203"</f>
        <v>04079431203</v>
      </c>
      <c r="I2125" s="1" t="s">
        <v>4410</v>
      </c>
      <c r="L2125" s="1" t="s">
        <v>44</v>
      </c>
      <c r="M2125" s="1" t="s">
        <v>4411</v>
      </c>
      <c r="AG2125" s="1" t="s">
        <v>4412</v>
      </c>
      <c r="AH2125" s="2">
        <v>44927</v>
      </c>
      <c r="AI2125" s="2">
        <v>45291</v>
      </c>
      <c r="AJ2125" s="2">
        <v>44927</v>
      </c>
    </row>
    <row r="2126" spans="1:36">
      <c r="A2126" s="1" t="str">
        <f>"Z5D3B125B1"</f>
        <v>Z5D3B125B1</v>
      </c>
      <c r="B2126" s="1" t="str">
        <f t="shared" si="52"/>
        <v>02406911202</v>
      </c>
      <c r="C2126" s="1" t="s">
        <v>13</v>
      </c>
      <c r="D2126" s="1" t="s">
        <v>1312</v>
      </c>
      <c r="E2126" s="1" t="s">
        <v>4413</v>
      </c>
      <c r="F2126" s="1" t="s">
        <v>49</v>
      </c>
      <c r="G2126" s="1" t="str">
        <f>"10209790152"</f>
        <v>10209790152</v>
      </c>
      <c r="I2126" s="1" t="s">
        <v>4414</v>
      </c>
      <c r="L2126" s="1" t="s">
        <v>44</v>
      </c>
      <c r="M2126" s="1" t="s">
        <v>930</v>
      </c>
      <c r="AG2126" s="1" t="s">
        <v>124</v>
      </c>
      <c r="AH2126" s="2">
        <v>45055</v>
      </c>
      <c r="AI2126" s="2">
        <v>45291</v>
      </c>
      <c r="AJ2126" s="2">
        <v>45055</v>
      </c>
    </row>
    <row r="2127" spans="1:36">
      <c r="A2127" s="1" t="str">
        <f>"ZA13B1275A"</f>
        <v>ZA13B1275A</v>
      </c>
      <c r="B2127" s="1" t="str">
        <f t="shared" si="52"/>
        <v>02406911202</v>
      </c>
      <c r="C2127" s="1" t="s">
        <v>13</v>
      </c>
      <c r="D2127" s="1" t="s">
        <v>205</v>
      </c>
      <c r="E2127" s="1" t="s">
        <v>4415</v>
      </c>
      <c r="F2127" s="1" t="s">
        <v>49</v>
      </c>
      <c r="G2127" s="1" t="str">
        <f>"02407091202"</f>
        <v>02407091202</v>
      </c>
      <c r="I2127" s="1" t="s">
        <v>4416</v>
      </c>
      <c r="L2127" s="1" t="s">
        <v>44</v>
      </c>
      <c r="M2127" s="1" t="s">
        <v>4417</v>
      </c>
      <c r="AG2127" s="1" t="s">
        <v>4418</v>
      </c>
      <c r="AH2127" s="2">
        <v>44927</v>
      </c>
      <c r="AI2127" s="2">
        <v>45291</v>
      </c>
      <c r="AJ2127" s="2">
        <v>44927</v>
      </c>
    </row>
    <row r="2128" spans="1:36">
      <c r="A2128" s="1" t="str">
        <f>"98577432DE"</f>
        <v>98577432DE</v>
      </c>
      <c r="B2128" s="1" t="str">
        <f t="shared" si="52"/>
        <v>02406911202</v>
      </c>
      <c r="C2128" s="1" t="s">
        <v>13</v>
      </c>
      <c r="D2128" s="1" t="s">
        <v>1312</v>
      </c>
      <c r="E2128" s="1" t="s">
        <v>4419</v>
      </c>
      <c r="F2128" s="1" t="s">
        <v>49</v>
      </c>
      <c r="G2128" s="1" t="str">
        <f>"00674840152"</f>
        <v>00674840152</v>
      </c>
      <c r="I2128" s="1" t="s">
        <v>190</v>
      </c>
      <c r="L2128" s="1" t="s">
        <v>44</v>
      </c>
      <c r="M2128" s="1" t="s">
        <v>1625</v>
      </c>
      <c r="AG2128" s="1" t="s">
        <v>4420</v>
      </c>
      <c r="AH2128" s="2">
        <v>45086</v>
      </c>
      <c r="AI2128" s="2">
        <v>45443</v>
      </c>
      <c r="AJ2128" s="2">
        <v>45086</v>
      </c>
    </row>
    <row r="2129" spans="1:36">
      <c r="A2129" s="1" t="str">
        <f>"Z803B856A4"</f>
        <v>Z803B856A4</v>
      </c>
      <c r="B2129" s="1" t="str">
        <f t="shared" si="52"/>
        <v>02406911202</v>
      </c>
      <c r="C2129" s="1" t="s">
        <v>13</v>
      </c>
      <c r="D2129" s="1" t="s">
        <v>1312</v>
      </c>
      <c r="E2129" s="1" t="s">
        <v>4421</v>
      </c>
      <c r="F2129" s="1" t="s">
        <v>49</v>
      </c>
      <c r="G2129" s="1" t="str">
        <f>"05500180285"</f>
        <v>05500180285</v>
      </c>
      <c r="I2129" s="1" t="s">
        <v>4422</v>
      </c>
      <c r="L2129" s="1" t="s">
        <v>44</v>
      </c>
      <c r="M2129" s="1" t="s">
        <v>1314</v>
      </c>
      <c r="AG2129" s="1" t="s">
        <v>124</v>
      </c>
      <c r="AH2129" s="2">
        <v>45090</v>
      </c>
      <c r="AI2129" s="2">
        <v>45291</v>
      </c>
      <c r="AJ2129" s="2">
        <v>45090</v>
      </c>
    </row>
    <row r="2130" spans="1:36">
      <c r="A2130" s="1" t="str">
        <f>"ZA23B859EC"</f>
        <v>ZA23B859EC</v>
      </c>
      <c r="B2130" s="1" t="str">
        <f t="shared" si="52"/>
        <v>02406911202</v>
      </c>
      <c r="C2130" s="1" t="s">
        <v>13</v>
      </c>
      <c r="D2130" s="1" t="s">
        <v>1312</v>
      </c>
      <c r="E2130" s="1" t="s">
        <v>4423</v>
      </c>
      <c r="F2130" s="1" t="s">
        <v>49</v>
      </c>
      <c r="G2130" s="1" t="str">
        <f>"03698030289"</f>
        <v>03698030289</v>
      </c>
      <c r="I2130" s="1" t="s">
        <v>4233</v>
      </c>
      <c r="L2130" s="1" t="s">
        <v>44</v>
      </c>
      <c r="M2130" s="1" t="s">
        <v>1314</v>
      </c>
      <c r="AG2130" s="1" t="s">
        <v>124</v>
      </c>
      <c r="AH2130" s="2">
        <v>45090</v>
      </c>
      <c r="AI2130" s="2">
        <v>45690</v>
      </c>
      <c r="AJ2130" s="2">
        <v>45090</v>
      </c>
    </row>
    <row r="2131" spans="1:36">
      <c r="A2131" s="1" t="str">
        <f>"Z9D3B95C66"</f>
        <v>Z9D3B95C66</v>
      </c>
      <c r="B2131" s="1" t="str">
        <f t="shared" si="52"/>
        <v>02406911202</v>
      </c>
      <c r="C2131" s="1" t="s">
        <v>13</v>
      </c>
      <c r="D2131" s="1" t="s">
        <v>1253</v>
      </c>
      <c r="E2131" s="1" t="s">
        <v>1270</v>
      </c>
      <c r="F2131" s="1" t="s">
        <v>49</v>
      </c>
      <c r="H2131" s="1" t="str">
        <f>"559046863201"</f>
        <v>559046863201</v>
      </c>
      <c r="I2131" s="1" t="s">
        <v>3935</v>
      </c>
      <c r="L2131" s="1" t="s">
        <v>44</v>
      </c>
      <c r="M2131" s="1" t="s">
        <v>153</v>
      </c>
      <c r="AG2131" s="1" t="s">
        <v>4424</v>
      </c>
      <c r="AH2131" s="2">
        <v>45093</v>
      </c>
      <c r="AI2131" s="2">
        <v>45291</v>
      </c>
      <c r="AJ2131" s="2">
        <v>45093</v>
      </c>
    </row>
    <row r="2132" spans="1:36">
      <c r="A2132" s="1" t="str">
        <f>"ZF23B768B8"</f>
        <v>ZF23B768B8</v>
      </c>
      <c r="B2132" s="1" t="str">
        <f t="shared" si="52"/>
        <v>02406911202</v>
      </c>
      <c r="C2132" s="1" t="s">
        <v>13</v>
      </c>
      <c r="D2132" s="1" t="s">
        <v>1741</v>
      </c>
      <c r="E2132" s="1" t="s">
        <v>4425</v>
      </c>
      <c r="F2132" s="1" t="s">
        <v>39</v>
      </c>
      <c r="G2132" s="1" t="str">
        <f>"01003500293"</f>
        <v>01003500293</v>
      </c>
      <c r="I2132" s="1" t="s">
        <v>4426</v>
      </c>
      <c r="L2132" s="1" t="s">
        <v>44</v>
      </c>
      <c r="M2132" s="1" t="s">
        <v>4427</v>
      </c>
      <c r="AG2132" s="1" t="s">
        <v>4428</v>
      </c>
      <c r="AH2132" s="2">
        <v>45084</v>
      </c>
      <c r="AI2132" s="2">
        <v>45291</v>
      </c>
      <c r="AJ2132" s="2">
        <v>45084</v>
      </c>
    </row>
    <row r="2133" spans="1:36">
      <c r="A2133" s="1" t="str">
        <f>"9813164F19"</f>
        <v>9813164F19</v>
      </c>
      <c r="B2133" s="1" t="str">
        <f t="shared" si="52"/>
        <v>02406911202</v>
      </c>
      <c r="C2133" s="1" t="s">
        <v>13</v>
      </c>
      <c r="D2133" s="1" t="s">
        <v>37</v>
      </c>
      <c r="E2133" s="1" t="s">
        <v>4429</v>
      </c>
      <c r="F2133" s="1" t="s">
        <v>117</v>
      </c>
      <c r="G2133" s="1" t="str">
        <f>"06908900019"</f>
        <v>06908900019</v>
      </c>
      <c r="I2133" s="1" t="s">
        <v>4430</v>
      </c>
      <c r="L2133" s="1" t="s">
        <v>44</v>
      </c>
      <c r="M2133" s="1" t="s">
        <v>4431</v>
      </c>
      <c r="AG2133" s="1" t="s">
        <v>124</v>
      </c>
      <c r="AH2133" s="2">
        <v>45099</v>
      </c>
      <c r="AI2133" s="2">
        <v>45291</v>
      </c>
      <c r="AJ2133" s="2">
        <v>45099</v>
      </c>
    </row>
    <row r="2134" spans="1:36">
      <c r="A2134" s="1" t="str">
        <f>"9681551C9E"</f>
        <v>9681551C9E</v>
      </c>
      <c r="B2134" s="1" t="str">
        <f t="shared" si="52"/>
        <v>02406911202</v>
      </c>
      <c r="C2134" s="1" t="s">
        <v>13</v>
      </c>
      <c r="D2134" s="1" t="s">
        <v>37</v>
      </c>
      <c r="E2134" s="1" t="s">
        <v>4432</v>
      </c>
      <c r="F2134" s="1" t="s">
        <v>39</v>
      </c>
      <c r="G2134" s="1" t="str">
        <f>"00566630323"</f>
        <v>00566630323</v>
      </c>
      <c r="I2134" s="1" t="s">
        <v>4433</v>
      </c>
      <c r="L2134" s="1" t="s">
        <v>44</v>
      </c>
      <c r="M2134" s="1" t="s">
        <v>922</v>
      </c>
      <c r="AG2134" s="1" t="s">
        <v>4434</v>
      </c>
      <c r="AH2134" s="2">
        <v>45047</v>
      </c>
      <c r="AI2134" s="2">
        <v>45412</v>
      </c>
      <c r="AJ2134" s="2">
        <v>45047</v>
      </c>
    </row>
    <row r="2135" spans="1:36">
      <c r="A2135" s="1" t="str">
        <f>"Z0B3BB66DB"</f>
        <v>Z0B3BB66DB</v>
      </c>
      <c r="B2135" s="1" t="str">
        <f t="shared" si="52"/>
        <v>02406911202</v>
      </c>
      <c r="C2135" s="1" t="s">
        <v>13</v>
      </c>
      <c r="D2135" s="1" t="s">
        <v>1312</v>
      </c>
      <c r="E2135" s="1" t="s">
        <v>3349</v>
      </c>
      <c r="F2135" s="1" t="s">
        <v>49</v>
      </c>
      <c r="G2135" s="1" t="str">
        <f>"09284460962"</f>
        <v>09284460962</v>
      </c>
      <c r="I2135" s="1" t="s">
        <v>3350</v>
      </c>
      <c r="L2135" s="1" t="s">
        <v>44</v>
      </c>
      <c r="M2135" s="1" t="s">
        <v>1314</v>
      </c>
      <c r="AG2135" s="1" t="s">
        <v>4435</v>
      </c>
      <c r="AH2135" s="2">
        <v>45104</v>
      </c>
      <c r="AI2135" s="2">
        <v>46022</v>
      </c>
      <c r="AJ2135" s="2">
        <v>45104</v>
      </c>
    </row>
    <row r="2136" spans="1:36">
      <c r="A2136" s="1" t="str">
        <f>"Z863A91517"</f>
        <v>Z863A91517</v>
      </c>
      <c r="B2136" s="1" t="str">
        <f t="shared" si="52"/>
        <v>02406911202</v>
      </c>
      <c r="C2136" s="1" t="s">
        <v>13</v>
      </c>
      <c r="D2136" s="1" t="s">
        <v>1253</v>
      </c>
      <c r="E2136" s="1" t="s">
        <v>1254</v>
      </c>
      <c r="F2136" s="1" t="s">
        <v>49</v>
      </c>
      <c r="G2136" s="1" t="str">
        <f>"03777830369"</f>
        <v>03777830369</v>
      </c>
      <c r="I2136" s="1" t="s">
        <v>4436</v>
      </c>
      <c r="L2136" s="1" t="s">
        <v>44</v>
      </c>
      <c r="M2136" s="1" t="s">
        <v>1255</v>
      </c>
      <c r="AG2136" s="1" t="s">
        <v>124</v>
      </c>
      <c r="AH2136" s="2">
        <v>45013</v>
      </c>
      <c r="AI2136" s="2">
        <v>45291</v>
      </c>
      <c r="AJ2136" s="2">
        <v>45013</v>
      </c>
    </row>
    <row r="2137" spans="1:36">
      <c r="A2137" s="1" t="str">
        <f>"ZAE3AC2867"</f>
        <v>ZAE3AC2867</v>
      </c>
      <c r="B2137" s="1" t="str">
        <f t="shared" si="52"/>
        <v>02406911202</v>
      </c>
      <c r="C2137" s="1" t="s">
        <v>13</v>
      </c>
      <c r="D2137" s="1" t="s">
        <v>1253</v>
      </c>
      <c r="E2137" s="1" t="s">
        <v>1254</v>
      </c>
      <c r="F2137" s="1" t="s">
        <v>49</v>
      </c>
      <c r="G2137" s="1" t="str">
        <f>"00674840152"</f>
        <v>00674840152</v>
      </c>
      <c r="I2137" s="1" t="s">
        <v>190</v>
      </c>
      <c r="L2137" s="1" t="s">
        <v>44</v>
      </c>
      <c r="M2137" s="1" t="s">
        <v>1255</v>
      </c>
      <c r="AG2137" s="1" t="s">
        <v>4437</v>
      </c>
      <c r="AH2137" s="2">
        <v>45029</v>
      </c>
      <c r="AI2137" s="2">
        <v>45291</v>
      </c>
      <c r="AJ2137" s="2">
        <v>45029</v>
      </c>
    </row>
    <row r="2138" spans="1:36">
      <c r="A2138" s="1" t="str">
        <f>"Z9E3AC5AFF"</f>
        <v>Z9E3AC5AFF</v>
      </c>
      <c r="B2138" s="1" t="str">
        <f t="shared" si="52"/>
        <v>02406911202</v>
      </c>
      <c r="C2138" s="1" t="s">
        <v>13</v>
      </c>
      <c r="D2138" s="1" t="s">
        <v>205</v>
      </c>
      <c r="E2138" s="1" t="s">
        <v>4438</v>
      </c>
      <c r="F2138" s="1" t="s">
        <v>49</v>
      </c>
      <c r="G2138" s="1" t="str">
        <f>"01876160407"</f>
        <v>01876160407</v>
      </c>
      <c r="I2138" s="1" t="s">
        <v>4439</v>
      </c>
      <c r="L2138" s="1" t="s">
        <v>44</v>
      </c>
      <c r="M2138" s="1" t="s">
        <v>4440</v>
      </c>
      <c r="AG2138" s="1" t="s">
        <v>4441</v>
      </c>
      <c r="AH2138" s="2">
        <v>44927</v>
      </c>
      <c r="AI2138" s="2">
        <v>45112</v>
      </c>
      <c r="AJ2138" s="2">
        <v>44927</v>
      </c>
    </row>
    <row r="2139" spans="1:36">
      <c r="A2139" s="1" t="str">
        <f>"Z5E3AC691F"</f>
        <v>Z5E3AC691F</v>
      </c>
      <c r="B2139" s="1" t="str">
        <f t="shared" si="52"/>
        <v>02406911202</v>
      </c>
      <c r="C2139" s="1" t="s">
        <v>13</v>
      </c>
      <c r="D2139" s="1" t="s">
        <v>205</v>
      </c>
      <c r="E2139" s="1" t="s">
        <v>4442</v>
      </c>
      <c r="F2139" s="1" t="s">
        <v>49</v>
      </c>
      <c r="G2139" s="1" t="str">
        <f>"03078531203"</f>
        <v>03078531203</v>
      </c>
      <c r="I2139" s="1" t="s">
        <v>4443</v>
      </c>
      <c r="L2139" s="1" t="s">
        <v>44</v>
      </c>
      <c r="M2139" s="1" t="s">
        <v>4444</v>
      </c>
      <c r="AG2139" s="1" t="s">
        <v>4445</v>
      </c>
      <c r="AH2139" s="2">
        <v>44927</v>
      </c>
      <c r="AI2139" s="2">
        <v>45093</v>
      </c>
      <c r="AJ2139" s="2">
        <v>44927</v>
      </c>
    </row>
    <row r="2140" spans="1:36">
      <c r="A2140" s="1" t="str">
        <f>"ZC93AEDEFD"</f>
        <v>ZC93AEDEFD</v>
      </c>
      <c r="B2140" s="1" t="str">
        <f t="shared" si="52"/>
        <v>02406911202</v>
      </c>
      <c r="C2140" s="1" t="s">
        <v>13</v>
      </c>
      <c r="D2140" s="1" t="s">
        <v>1257</v>
      </c>
      <c r="E2140" s="1" t="s">
        <v>4446</v>
      </c>
      <c r="F2140" s="1" t="s">
        <v>49</v>
      </c>
      <c r="G2140" s="1" t="str">
        <f>"12268050155"</f>
        <v>12268050155</v>
      </c>
      <c r="I2140" s="1" t="s">
        <v>2596</v>
      </c>
      <c r="L2140" s="1" t="s">
        <v>44</v>
      </c>
      <c r="M2140" s="1" t="s">
        <v>103</v>
      </c>
      <c r="AG2140" s="1" t="s">
        <v>3166</v>
      </c>
      <c r="AH2140" s="2">
        <v>45017</v>
      </c>
      <c r="AI2140" s="2">
        <v>45291</v>
      </c>
      <c r="AJ2140" s="2">
        <v>45017</v>
      </c>
    </row>
    <row r="2141" spans="1:36">
      <c r="A2141" s="1" t="str">
        <f>"Z3E3AF5084"</f>
        <v>Z3E3AF5084</v>
      </c>
      <c r="B2141" s="1" t="str">
        <f t="shared" si="52"/>
        <v>02406911202</v>
      </c>
      <c r="C2141" s="1" t="s">
        <v>13</v>
      </c>
      <c r="D2141" s="1" t="s">
        <v>1253</v>
      </c>
      <c r="E2141" s="1" t="s">
        <v>1254</v>
      </c>
      <c r="F2141" s="1" t="s">
        <v>49</v>
      </c>
      <c r="G2141" s="1" t="str">
        <f>"09163950968"</f>
        <v>09163950968</v>
      </c>
      <c r="I2141" s="1" t="s">
        <v>3436</v>
      </c>
      <c r="L2141" s="1" t="s">
        <v>44</v>
      </c>
      <c r="M2141" s="1" t="s">
        <v>1255</v>
      </c>
      <c r="AG2141" s="1" t="s">
        <v>4447</v>
      </c>
      <c r="AH2141" s="2">
        <v>45044</v>
      </c>
      <c r="AI2141" s="2">
        <v>45291</v>
      </c>
      <c r="AJ2141" s="2">
        <v>45044</v>
      </c>
    </row>
    <row r="2142" spans="1:36">
      <c r="A2142" s="1" t="str">
        <f>"9792569B92"</f>
        <v>9792569B92</v>
      </c>
      <c r="B2142" s="1" t="str">
        <f t="shared" si="52"/>
        <v>02406911202</v>
      </c>
      <c r="C2142" s="1" t="s">
        <v>13</v>
      </c>
      <c r="D2142" s="1" t="s">
        <v>37</v>
      </c>
      <c r="E2142" s="1" t="s">
        <v>4171</v>
      </c>
      <c r="F2142" s="1" t="s">
        <v>117</v>
      </c>
      <c r="G2142" s="1" t="str">
        <f>"09699320017"</f>
        <v>09699320017</v>
      </c>
      <c r="I2142" s="1" t="s">
        <v>540</v>
      </c>
      <c r="L2142" s="1" t="s">
        <v>44</v>
      </c>
      <c r="M2142" s="1" t="s">
        <v>542</v>
      </c>
      <c r="AG2142" s="1" t="s">
        <v>4448</v>
      </c>
      <c r="AH2142" s="2">
        <v>45053</v>
      </c>
      <c r="AI2142" s="2">
        <v>45412</v>
      </c>
      <c r="AJ2142" s="2">
        <v>45053</v>
      </c>
    </row>
    <row r="2143" spans="1:36">
      <c r="A2143" s="1" t="str">
        <f>"ZBB3B015F2"</f>
        <v>ZBB3B015F2</v>
      </c>
      <c r="B2143" s="1" t="str">
        <f t="shared" si="52"/>
        <v>02406911202</v>
      </c>
      <c r="C2143" s="1" t="s">
        <v>13</v>
      </c>
      <c r="D2143" s="1" t="s">
        <v>205</v>
      </c>
      <c r="E2143" s="1" t="s">
        <v>4449</v>
      </c>
      <c r="F2143" s="1" t="s">
        <v>49</v>
      </c>
      <c r="G2143" s="1" t="str">
        <f>"00530191204"</f>
        <v>00530191204</v>
      </c>
      <c r="I2143" s="1" t="s">
        <v>4450</v>
      </c>
      <c r="L2143" s="1" t="s">
        <v>44</v>
      </c>
      <c r="M2143" s="1" t="s">
        <v>4451</v>
      </c>
      <c r="AG2143" s="1" t="s">
        <v>124</v>
      </c>
      <c r="AH2143" s="2">
        <v>44927</v>
      </c>
      <c r="AI2143" s="2">
        <v>45291</v>
      </c>
      <c r="AJ2143" s="2">
        <v>44927</v>
      </c>
    </row>
    <row r="2144" spans="1:36">
      <c r="A2144" s="1" t="str">
        <f>"9799436E65"</f>
        <v>9799436E65</v>
      </c>
      <c r="B2144" s="1" t="str">
        <f t="shared" si="52"/>
        <v>02406911202</v>
      </c>
      <c r="C2144" s="1" t="s">
        <v>13</v>
      </c>
      <c r="D2144" s="1" t="s">
        <v>37</v>
      </c>
      <c r="E2144" s="1" t="s">
        <v>4452</v>
      </c>
      <c r="F2144" s="1" t="s">
        <v>39</v>
      </c>
      <c r="G2144" s="1" t="str">
        <f>"10051170156"</f>
        <v>10051170156</v>
      </c>
      <c r="I2144" s="1" t="s">
        <v>447</v>
      </c>
      <c r="L2144" s="1" t="s">
        <v>44</v>
      </c>
      <c r="M2144" s="1" t="s">
        <v>449</v>
      </c>
      <c r="AG2144" s="1" t="s">
        <v>4453</v>
      </c>
      <c r="AH2144" s="2">
        <v>45051</v>
      </c>
      <c r="AI2144" s="2">
        <v>45291</v>
      </c>
      <c r="AJ2144" s="2">
        <v>45051</v>
      </c>
    </row>
    <row r="2145" spans="1:36">
      <c r="A2145" s="1" t="str">
        <f>"9799459164"</f>
        <v>9799459164</v>
      </c>
      <c r="B2145" s="1" t="str">
        <f t="shared" si="52"/>
        <v>02406911202</v>
      </c>
      <c r="C2145" s="1" t="s">
        <v>13</v>
      </c>
      <c r="D2145" s="1" t="s">
        <v>37</v>
      </c>
      <c r="E2145" s="1" t="s">
        <v>4454</v>
      </c>
      <c r="F2145" s="1" t="s">
        <v>39</v>
      </c>
      <c r="G2145" s="1" t="str">
        <f>"00887261006"</f>
        <v>00887261006</v>
      </c>
      <c r="I2145" s="1" t="s">
        <v>2041</v>
      </c>
      <c r="L2145" s="1" t="s">
        <v>44</v>
      </c>
      <c r="M2145" s="1" t="s">
        <v>455</v>
      </c>
      <c r="AG2145" s="1" t="s">
        <v>4455</v>
      </c>
      <c r="AH2145" s="2">
        <v>45051</v>
      </c>
      <c r="AI2145" s="2">
        <v>45291</v>
      </c>
      <c r="AJ2145" s="2">
        <v>45051</v>
      </c>
    </row>
    <row r="2146" spans="1:36">
      <c r="A2146" s="1" t="str">
        <f>"9799488950"</f>
        <v>9799488950</v>
      </c>
      <c r="B2146" s="1" t="str">
        <f t="shared" si="52"/>
        <v>02406911202</v>
      </c>
      <c r="C2146" s="1" t="s">
        <v>13</v>
      </c>
      <c r="D2146" s="1" t="s">
        <v>37</v>
      </c>
      <c r="E2146" s="1" t="s">
        <v>4456</v>
      </c>
      <c r="F2146" s="1" t="s">
        <v>39</v>
      </c>
      <c r="G2146" s="1" t="str">
        <f>"11187430159"</f>
        <v>11187430159</v>
      </c>
      <c r="I2146" s="1" t="s">
        <v>460</v>
      </c>
      <c r="L2146" s="1" t="s">
        <v>44</v>
      </c>
      <c r="M2146" s="1" t="s">
        <v>462</v>
      </c>
      <c r="AG2146" s="1" t="s">
        <v>4457</v>
      </c>
      <c r="AH2146" s="2">
        <v>45051</v>
      </c>
      <c r="AI2146" s="2">
        <v>45291</v>
      </c>
      <c r="AJ2146" s="2">
        <v>45051</v>
      </c>
    </row>
    <row r="2147" spans="1:36">
      <c r="A2147" s="1" t="str">
        <f>"ZA13B0DCD6"</f>
        <v>ZA13B0DCD6</v>
      </c>
      <c r="B2147" s="1" t="str">
        <f t="shared" si="52"/>
        <v>02406911202</v>
      </c>
      <c r="C2147" s="1" t="s">
        <v>13</v>
      </c>
      <c r="D2147" s="1" t="s">
        <v>1253</v>
      </c>
      <c r="E2147" s="1" t="s">
        <v>1260</v>
      </c>
      <c r="F2147" s="1" t="s">
        <v>49</v>
      </c>
      <c r="G2147" s="1" t="str">
        <f>"01975020130"</f>
        <v>01975020130</v>
      </c>
      <c r="I2147" s="1" t="s">
        <v>1737</v>
      </c>
      <c r="L2147" s="1" t="s">
        <v>44</v>
      </c>
      <c r="M2147" s="1" t="s">
        <v>1255</v>
      </c>
      <c r="AG2147" s="1" t="s">
        <v>4458</v>
      </c>
      <c r="AH2147" s="2">
        <v>45054</v>
      </c>
      <c r="AI2147" s="2">
        <v>45291</v>
      </c>
      <c r="AJ2147" s="2">
        <v>45054</v>
      </c>
    </row>
    <row r="2148" spans="1:36">
      <c r="A2148" s="1" t="str">
        <f>"9792918B93"</f>
        <v>9792918B93</v>
      </c>
      <c r="B2148" s="1" t="str">
        <f t="shared" si="52"/>
        <v>02406911202</v>
      </c>
      <c r="C2148" s="1" t="s">
        <v>13</v>
      </c>
      <c r="D2148" s="1" t="s">
        <v>1312</v>
      </c>
      <c r="E2148" s="1" t="s">
        <v>4459</v>
      </c>
      <c r="F2148" s="1" t="s">
        <v>49</v>
      </c>
      <c r="G2148" s="1" t="str">
        <f>"09012850153"</f>
        <v>09012850153</v>
      </c>
      <c r="I2148" s="1" t="s">
        <v>3674</v>
      </c>
      <c r="L2148" s="1" t="s">
        <v>44</v>
      </c>
      <c r="M2148" s="1" t="s">
        <v>4460</v>
      </c>
      <c r="AG2148" s="1" t="s">
        <v>4461</v>
      </c>
      <c r="AH2148" s="2">
        <v>45054</v>
      </c>
      <c r="AI2148" s="2">
        <v>45443</v>
      </c>
      <c r="AJ2148" s="2">
        <v>45054</v>
      </c>
    </row>
    <row r="2149" spans="1:36">
      <c r="A2149" s="1" t="str">
        <f>"ZFA3BA00B1"</f>
        <v>ZFA3BA00B1</v>
      </c>
      <c r="B2149" s="1" t="str">
        <f t="shared" si="52"/>
        <v>02406911202</v>
      </c>
      <c r="C2149" s="1" t="s">
        <v>13</v>
      </c>
      <c r="D2149" s="1" t="s">
        <v>205</v>
      </c>
      <c r="E2149" s="1" t="s">
        <v>4462</v>
      </c>
      <c r="F2149" s="1" t="s">
        <v>4463</v>
      </c>
      <c r="H2149" s="1" t="str">
        <f>"753505339"</f>
        <v>753505339</v>
      </c>
      <c r="I2149" s="1" t="s">
        <v>4464</v>
      </c>
      <c r="L2149" s="1" t="s">
        <v>44</v>
      </c>
      <c r="M2149" s="1" t="s">
        <v>4465</v>
      </c>
      <c r="AG2149" s="1" t="s">
        <v>4465</v>
      </c>
      <c r="AH2149" s="2">
        <v>45097</v>
      </c>
      <c r="AI2149" s="2">
        <v>45291</v>
      </c>
      <c r="AJ2149" s="2">
        <v>45097</v>
      </c>
    </row>
    <row r="2150" spans="1:36">
      <c r="A2150" s="1" t="str">
        <f>"ZCD3BA3C23"</f>
        <v>ZCD3BA3C23</v>
      </c>
      <c r="B2150" s="1" t="str">
        <f t="shared" si="52"/>
        <v>02406911202</v>
      </c>
      <c r="C2150" s="1" t="s">
        <v>13</v>
      </c>
      <c r="D2150" s="1" t="s">
        <v>1253</v>
      </c>
      <c r="E2150" s="1" t="s">
        <v>1262</v>
      </c>
      <c r="F2150" s="1" t="s">
        <v>49</v>
      </c>
      <c r="G2150" s="1" t="str">
        <f>"13948081008"</f>
        <v>13948081008</v>
      </c>
      <c r="I2150" s="1" t="s">
        <v>1411</v>
      </c>
      <c r="L2150" s="1" t="s">
        <v>44</v>
      </c>
      <c r="M2150" s="1" t="s">
        <v>1255</v>
      </c>
      <c r="AG2150" s="1" t="s">
        <v>124</v>
      </c>
      <c r="AH2150" s="2">
        <v>45098</v>
      </c>
      <c r="AI2150" s="2">
        <v>45291</v>
      </c>
      <c r="AJ2150" s="2">
        <v>45098</v>
      </c>
    </row>
    <row r="2151" spans="1:36">
      <c r="A2151" s="1" t="str">
        <f>"Z4D3BA4D9A"</f>
        <v>Z4D3BA4D9A</v>
      </c>
      <c r="B2151" s="1" t="str">
        <f t="shared" si="52"/>
        <v>02406911202</v>
      </c>
      <c r="C2151" s="1" t="s">
        <v>13</v>
      </c>
      <c r="D2151" s="1" t="s">
        <v>1253</v>
      </c>
      <c r="E2151" s="1" t="s">
        <v>1262</v>
      </c>
      <c r="F2151" s="1" t="s">
        <v>49</v>
      </c>
      <c r="G2151" s="1" t="str">
        <f>"12432150154"</f>
        <v>12432150154</v>
      </c>
      <c r="I2151" s="1" t="s">
        <v>1646</v>
      </c>
      <c r="L2151" s="1" t="s">
        <v>44</v>
      </c>
      <c r="M2151" s="1" t="s">
        <v>1255</v>
      </c>
      <c r="AG2151" s="1" t="s">
        <v>4466</v>
      </c>
      <c r="AH2151" s="2">
        <v>45098</v>
      </c>
      <c r="AI2151" s="2">
        <v>45291</v>
      </c>
      <c r="AJ2151" s="2">
        <v>45098</v>
      </c>
    </row>
    <row r="2152" spans="1:36">
      <c r="A2152" s="1" t="str">
        <f>"Z4A3BA4EC1"</f>
        <v>Z4A3BA4EC1</v>
      </c>
      <c r="B2152" s="1" t="str">
        <f t="shared" si="52"/>
        <v>02406911202</v>
      </c>
      <c r="C2152" s="1" t="s">
        <v>13</v>
      </c>
      <c r="D2152" s="1" t="s">
        <v>1253</v>
      </c>
      <c r="E2152" s="1" t="s">
        <v>1270</v>
      </c>
      <c r="F2152" s="1" t="s">
        <v>49</v>
      </c>
      <c r="G2152" s="1" t="str">
        <f>"05150990280"</f>
        <v>05150990280</v>
      </c>
      <c r="I2152" s="1" t="s">
        <v>4467</v>
      </c>
      <c r="L2152" s="1" t="s">
        <v>44</v>
      </c>
      <c r="M2152" s="1" t="s">
        <v>153</v>
      </c>
      <c r="AG2152" s="1" t="s">
        <v>4468</v>
      </c>
      <c r="AH2152" s="2">
        <v>45098</v>
      </c>
      <c r="AI2152" s="2">
        <v>45291</v>
      </c>
      <c r="AJ2152" s="2">
        <v>45098</v>
      </c>
    </row>
    <row r="2153" spans="1:36">
      <c r="A2153" s="1" t="str">
        <f>"ZBD3BA524C"</f>
        <v>ZBD3BA524C</v>
      </c>
      <c r="B2153" s="1" t="str">
        <f t="shared" si="52"/>
        <v>02406911202</v>
      </c>
      <c r="C2153" s="1" t="s">
        <v>13</v>
      </c>
      <c r="D2153" s="1" t="s">
        <v>1312</v>
      </c>
      <c r="E2153" s="1" t="s">
        <v>2290</v>
      </c>
      <c r="F2153" s="1" t="s">
        <v>49</v>
      </c>
      <c r="G2153" s="1" t="str">
        <f>"01620830347"</f>
        <v>01620830347</v>
      </c>
      <c r="I2153" s="1" t="s">
        <v>2149</v>
      </c>
      <c r="L2153" s="1" t="s">
        <v>44</v>
      </c>
      <c r="M2153" s="1" t="s">
        <v>1314</v>
      </c>
      <c r="AG2153" s="1" t="s">
        <v>2397</v>
      </c>
      <c r="AH2153" s="2">
        <v>45098</v>
      </c>
      <c r="AI2153" s="2">
        <v>45291</v>
      </c>
      <c r="AJ2153" s="2">
        <v>45098</v>
      </c>
    </row>
    <row r="2154" spans="1:36">
      <c r="A2154" s="1" t="str">
        <f>"9880941A74"</f>
        <v>9880941A74</v>
      </c>
      <c r="B2154" s="1" t="str">
        <f t="shared" si="52"/>
        <v>02406911202</v>
      </c>
      <c r="C2154" s="1" t="s">
        <v>13</v>
      </c>
      <c r="D2154" s="1" t="s">
        <v>1253</v>
      </c>
      <c r="E2154" s="1" t="s">
        <v>1260</v>
      </c>
      <c r="F2154" s="1" t="s">
        <v>49</v>
      </c>
      <c r="G2154" s="1" t="str">
        <f>"07435060152"</f>
        <v>07435060152</v>
      </c>
      <c r="I2154" s="1" t="s">
        <v>359</v>
      </c>
      <c r="L2154" s="1" t="s">
        <v>44</v>
      </c>
      <c r="M2154" s="1" t="s">
        <v>2739</v>
      </c>
      <c r="AG2154" s="1" t="s">
        <v>4469</v>
      </c>
      <c r="AH2154" s="2">
        <v>45105</v>
      </c>
      <c r="AI2154" s="2">
        <v>45291</v>
      </c>
      <c r="AJ2154" s="2">
        <v>45105</v>
      </c>
    </row>
    <row r="2155" spans="1:36">
      <c r="A2155" s="1" t="str">
        <f>"ZAD392B3F0"</f>
        <v>ZAD392B3F0</v>
      </c>
      <c r="B2155" s="1" t="str">
        <f t="shared" si="52"/>
        <v>02406911202</v>
      </c>
      <c r="C2155" s="1" t="s">
        <v>13</v>
      </c>
      <c r="D2155" s="1" t="s">
        <v>205</v>
      </c>
      <c r="E2155" s="1" t="s">
        <v>4470</v>
      </c>
      <c r="F2155" s="1" t="s">
        <v>49</v>
      </c>
      <c r="G2155" s="1" t="str">
        <f>"01114601006"</f>
        <v>01114601006</v>
      </c>
      <c r="I2155" s="1" t="s">
        <v>1665</v>
      </c>
      <c r="L2155" s="1" t="s">
        <v>44</v>
      </c>
      <c r="M2155" s="1" t="s">
        <v>1397</v>
      </c>
      <c r="AG2155" s="1" t="s">
        <v>124</v>
      </c>
      <c r="AH2155" s="2">
        <v>44927</v>
      </c>
      <c r="AI2155" s="2">
        <v>45675</v>
      </c>
      <c r="AJ2155" s="2">
        <v>44927</v>
      </c>
    </row>
    <row r="2156" spans="1:36">
      <c r="A2156" s="1" t="str">
        <f>"ZDB3A93AB5"</f>
        <v>ZDB3A93AB5</v>
      </c>
      <c r="B2156" s="1" t="str">
        <f t="shared" si="52"/>
        <v>02406911202</v>
      </c>
      <c r="C2156" s="1" t="s">
        <v>13</v>
      </c>
      <c r="D2156" s="1" t="s">
        <v>1253</v>
      </c>
      <c r="E2156" s="1" t="s">
        <v>1317</v>
      </c>
      <c r="F2156" s="1" t="s">
        <v>49</v>
      </c>
      <c r="G2156" s="1" t="str">
        <f>"01736720994"</f>
        <v>01736720994</v>
      </c>
      <c r="I2156" s="1" t="s">
        <v>80</v>
      </c>
      <c r="L2156" s="1" t="s">
        <v>44</v>
      </c>
      <c r="M2156" s="1" t="s">
        <v>1255</v>
      </c>
      <c r="AG2156" s="1" t="s">
        <v>4471</v>
      </c>
      <c r="AH2156" s="2">
        <v>45016</v>
      </c>
      <c r="AI2156" s="2">
        <v>45291</v>
      </c>
      <c r="AJ2156" s="2">
        <v>45016</v>
      </c>
    </row>
    <row r="2157" spans="1:36">
      <c r="A2157" s="1" t="str">
        <f>"ZE93A9FFA2"</f>
        <v>ZE93A9FFA2</v>
      </c>
      <c r="B2157" s="1" t="str">
        <f t="shared" si="52"/>
        <v>02406911202</v>
      </c>
      <c r="C2157" s="1" t="s">
        <v>13</v>
      </c>
      <c r="D2157" s="1" t="s">
        <v>1312</v>
      </c>
      <c r="E2157" s="1" t="s">
        <v>4472</v>
      </c>
      <c r="F2157" s="1" t="s">
        <v>49</v>
      </c>
      <c r="G2157" s="1" t="str">
        <f>"01900221209"</f>
        <v>01900221209</v>
      </c>
      <c r="I2157" s="1" t="s">
        <v>4162</v>
      </c>
      <c r="L2157" s="1" t="s">
        <v>44</v>
      </c>
      <c r="M2157" s="1" t="s">
        <v>1314</v>
      </c>
      <c r="AG2157" s="1" t="s">
        <v>4473</v>
      </c>
      <c r="AH2157" s="2">
        <v>45016</v>
      </c>
      <c r="AI2157" s="2">
        <v>46022</v>
      </c>
      <c r="AJ2157" s="2">
        <v>45016</v>
      </c>
    </row>
    <row r="2158" spans="1:36">
      <c r="A2158" s="1" t="str">
        <f>"ZA63A7D542"</f>
        <v>ZA63A7D542</v>
      </c>
      <c r="B2158" s="1" t="str">
        <f t="shared" si="52"/>
        <v>02406911202</v>
      </c>
      <c r="C2158" s="1" t="s">
        <v>13</v>
      </c>
      <c r="D2158" s="1" t="s">
        <v>1741</v>
      </c>
      <c r="E2158" s="1" t="s">
        <v>4474</v>
      </c>
      <c r="F2158" s="1" t="s">
        <v>39</v>
      </c>
      <c r="G2158" s="1" t="str">
        <f>"13110270157"</f>
        <v>13110270157</v>
      </c>
      <c r="I2158" s="1" t="s">
        <v>491</v>
      </c>
      <c r="L2158" s="1" t="s">
        <v>44</v>
      </c>
      <c r="M2158" s="1" t="s">
        <v>4475</v>
      </c>
      <c r="AG2158" s="1" t="s">
        <v>4476</v>
      </c>
      <c r="AH2158" s="2">
        <v>45007</v>
      </c>
      <c r="AI2158" s="2">
        <v>45291</v>
      </c>
      <c r="AJ2158" s="2">
        <v>45007</v>
      </c>
    </row>
    <row r="2159" spans="1:36">
      <c r="A2159" s="1" t="str">
        <f>"9741362A38"</f>
        <v>9741362A38</v>
      </c>
      <c r="B2159" s="1" t="str">
        <f t="shared" si="52"/>
        <v>02406911202</v>
      </c>
      <c r="C2159" s="1" t="s">
        <v>13</v>
      </c>
      <c r="D2159" s="1" t="s">
        <v>37</v>
      </c>
      <c r="E2159" s="1" t="s">
        <v>4477</v>
      </c>
      <c r="F2159" s="1" t="s">
        <v>39</v>
      </c>
      <c r="G2159" s="1" t="str">
        <f>"01725500233"</f>
        <v>01725500233</v>
      </c>
      <c r="I2159" s="1" t="s">
        <v>2797</v>
      </c>
      <c r="L2159" s="1" t="s">
        <v>44</v>
      </c>
      <c r="M2159" s="1" t="s">
        <v>4478</v>
      </c>
      <c r="AG2159" s="1" t="s">
        <v>4479</v>
      </c>
      <c r="AH2159" s="2">
        <v>44927</v>
      </c>
      <c r="AI2159" s="2">
        <v>45046</v>
      </c>
      <c r="AJ2159" s="2">
        <v>44927</v>
      </c>
    </row>
    <row r="2160" spans="1:36">
      <c r="A2160" s="1" t="str">
        <f>"ZD73AEEF82"</f>
        <v>ZD73AEEF82</v>
      </c>
      <c r="B2160" s="1" t="str">
        <f t="shared" si="52"/>
        <v>02406911202</v>
      </c>
      <c r="C2160" s="1" t="s">
        <v>13</v>
      </c>
      <c r="D2160" s="1" t="s">
        <v>1312</v>
      </c>
      <c r="E2160" s="1" t="s">
        <v>4480</v>
      </c>
      <c r="F2160" s="1" t="s">
        <v>49</v>
      </c>
      <c r="G2160" s="1" t="str">
        <f>"03688841208"</f>
        <v>03688841208</v>
      </c>
      <c r="I2160" s="1" t="s">
        <v>4481</v>
      </c>
      <c r="L2160" s="1" t="s">
        <v>44</v>
      </c>
      <c r="M2160" s="1" t="s">
        <v>4252</v>
      </c>
      <c r="AG2160" s="1" t="s">
        <v>4252</v>
      </c>
      <c r="AH2160" s="2">
        <v>44958</v>
      </c>
      <c r="AI2160" s="2">
        <v>45016</v>
      </c>
      <c r="AJ2160" s="2">
        <v>44958</v>
      </c>
    </row>
    <row r="2161" spans="1:36">
      <c r="A2161" s="1" t="str">
        <f>"ZB03AE57CF"</f>
        <v>ZB03AE57CF</v>
      </c>
      <c r="B2161" s="1" t="str">
        <f t="shared" si="52"/>
        <v>02406911202</v>
      </c>
      <c r="C2161" s="1" t="s">
        <v>13</v>
      </c>
      <c r="D2161" s="1" t="s">
        <v>205</v>
      </c>
      <c r="E2161" s="1" t="s">
        <v>1686</v>
      </c>
      <c r="F2161" s="1" t="s">
        <v>39</v>
      </c>
      <c r="G2161" s="1" t="str">
        <f>"02317470348"</f>
        <v>02317470348</v>
      </c>
      <c r="I2161" s="1" t="s">
        <v>4482</v>
      </c>
      <c r="L2161" s="1" t="s">
        <v>44</v>
      </c>
      <c r="M2161" s="1" t="s">
        <v>917</v>
      </c>
      <c r="AG2161" s="1" t="s">
        <v>4483</v>
      </c>
      <c r="AH2161" s="2">
        <v>44927</v>
      </c>
      <c r="AI2161" s="2">
        <v>45291</v>
      </c>
      <c r="AJ2161" s="2">
        <v>44927</v>
      </c>
    </row>
    <row r="2162" spans="1:36">
      <c r="A2162" s="1" t="str">
        <f>"ZF13AF0C16"</f>
        <v>ZF13AF0C16</v>
      </c>
      <c r="B2162" s="1" t="str">
        <f t="shared" si="52"/>
        <v>02406911202</v>
      </c>
      <c r="C2162" s="1" t="s">
        <v>13</v>
      </c>
      <c r="D2162" s="1" t="s">
        <v>1312</v>
      </c>
      <c r="E2162" s="1" t="s">
        <v>4484</v>
      </c>
      <c r="F2162" s="1" t="s">
        <v>49</v>
      </c>
      <c r="G2162" s="1" t="str">
        <f>"09933630155"</f>
        <v>09933630155</v>
      </c>
      <c r="I2162" s="1" t="s">
        <v>2412</v>
      </c>
      <c r="L2162" s="1" t="s">
        <v>44</v>
      </c>
      <c r="M2162" s="1" t="s">
        <v>1314</v>
      </c>
      <c r="AG2162" s="1" t="s">
        <v>4485</v>
      </c>
      <c r="AH2162" s="2">
        <v>45043</v>
      </c>
      <c r="AI2162" s="2">
        <v>46387</v>
      </c>
      <c r="AJ2162" s="2">
        <v>45043</v>
      </c>
    </row>
    <row r="2163" spans="1:36">
      <c r="A2163" s="1" t="str">
        <f>"976347741A"</f>
        <v>976347741A</v>
      </c>
      <c r="B2163" s="1" t="str">
        <f t="shared" si="52"/>
        <v>02406911202</v>
      </c>
      <c r="C2163" s="1" t="s">
        <v>13</v>
      </c>
      <c r="D2163" s="1" t="s">
        <v>1312</v>
      </c>
      <c r="E2163" s="1" t="s">
        <v>4486</v>
      </c>
      <c r="F2163" s="1" t="s">
        <v>49</v>
      </c>
      <c r="G2163" s="1" t="str">
        <f>"00247650161"</f>
        <v>00247650161</v>
      </c>
      <c r="I2163" s="1" t="s">
        <v>4487</v>
      </c>
      <c r="L2163" s="1" t="s">
        <v>44</v>
      </c>
      <c r="M2163" s="1" t="s">
        <v>4488</v>
      </c>
      <c r="AG2163" s="1" t="s">
        <v>4489</v>
      </c>
      <c r="AH2163" s="2">
        <v>45044</v>
      </c>
      <c r="AI2163" s="2">
        <v>45777</v>
      </c>
      <c r="AJ2163" s="2">
        <v>45044</v>
      </c>
    </row>
    <row r="2164" spans="1:36">
      <c r="A2164" s="1" t="str">
        <f>"9791499895"</f>
        <v>9791499895</v>
      </c>
      <c r="B2164" s="1" t="str">
        <f t="shared" si="52"/>
        <v>02406911202</v>
      </c>
      <c r="C2164" s="1" t="s">
        <v>13</v>
      </c>
      <c r="D2164" s="1" t="s">
        <v>37</v>
      </c>
      <c r="E2164" s="1" t="s">
        <v>4490</v>
      </c>
      <c r="F2164" s="1" t="s">
        <v>117</v>
      </c>
      <c r="G2164" s="1" t="str">
        <f>"02102821002"</f>
        <v>02102821002</v>
      </c>
      <c r="I2164" s="1" t="s">
        <v>1538</v>
      </c>
      <c r="L2164" s="1" t="s">
        <v>44</v>
      </c>
      <c r="M2164" s="1" t="s">
        <v>4491</v>
      </c>
      <c r="AG2164" s="1" t="s">
        <v>4492</v>
      </c>
      <c r="AH2164" s="2">
        <v>45043</v>
      </c>
      <c r="AI2164" s="2">
        <v>45366</v>
      </c>
      <c r="AJ2164" s="2">
        <v>45043</v>
      </c>
    </row>
    <row r="2165" spans="1:36">
      <c r="A2165" s="1" t="str">
        <f>"ZEE3B2C73C"</f>
        <v>ZEE3B2C73C</v>
      </c>
      <c r="B2165" s="1" t="str">
        <f t="shared" si="52"/>
        <v>02406911202</v>
      </c>
      <c r="C2165" s="1" t="s">
        <v>13</v>
      </c>
      <c r="D2165" s="1" t="s">
        <v>1257</v>
      </c>
      <c r="E2165" s="1" t="s">
        <v>4493</v>
      </c>
      <c r="F2165" s="1" t="s">
        <v>49</v>
      </c>
      <c r="G2165" s="1" t="str">
        <f>"02373581202"</f>
        <v>02373581202</v>
      </c>
      <c r="I2165" s="1" t="s">
        <v>1405</v>
      </c>
      <c r="L2165" s="1" t="s">
        <v>44</v>
      </c>
      <c r="M2165" s="1" t="s">
        <v>4494</v>
      </c>
      <c r="AG2165" s="1" t="s">
        <v>4494</v>
      </c>
      <c r="AH2165" s="2">
        <v>45062</v>
      </c>
      <c r="AI2165" s="2">
        <v>45069</v>
      </c>
      <c r="AJ2165" s="2">
        <v>45062</v>
      </c>
    </row>
    <row r="2166" spans="1:36">
      <c r="A2166" s="1" t="str">
        <f>"ZF23B74D44"</f>
        <v>ZF23B74D44</v>
      </c>
      <c r="B2166" s="1" t="str">
        <f t="shared" si="52"/>
        <v>02406911202</v>
      </c>
      <c r="C2166" s="1" t="s">
        <v>13</v>
      </c>
      <c r="D2166" s="1" t="s">
        <v>1312</v>
      </c>
      <c r="E2166" s="1" t="s">
        <v>4495</v>
      </c>
      <c r="F2166" s="1" t="s">
        <v>49</v>
      </c>
      <c r="G2166" s="1" t="str">
        <f>"02501461202"</f>
        <v>02501461202</v>
      </c>
      <c r="I2166" s="1" t="s">
        <v>2278</v>
      </c>
      <c r="L2166" s="1" t="s">
        <v>44</v>
      </c>
      <c r="M2166" s="1" t="s">
        <v>1314</v>
      </c>
      <c r="AG2166" s="1" t="s">
        <v>4496</v>
      </c>
      <c r="AH2166" s="2">
        <v>45084</v>
      </c>
      <c r="AI2166" s="2">
        <v>46022</v>
      </c>
      <c r="AJ2166" s="2">
        <v>45084</v>
      </c>
    </row>
    <row r="2167" spans="1:36">
      <c r="A2167" s="1" t="str">
        <f>"Z9D3B76666"</f>
        <v>Z9D3B76666</v>
      </c>
      <c r="B2167" s="1" t="str">
        <f t="shared" si="52"/>
        <v>02406911202</v>
      </c>
      <c r="C2167" s="1" t="s">
        <v>13</v>
      </c>
      <c r="D2167" s="1" t="s">
        <v>1253</v>
      </c>
      <c r="E2167" s="1" t="s">
        <v>1387</v>
      </c>
      <c r="F2167" s="1" t="s">
        <v>49</v>
      </c>
      <c r="G2167" s="1" t="str">
        <f>"02158490595"</f>
        <v>02158490595</v>
      </c>
      <c r="I2167" s="1" t="s">
        <v>2067</v>
      </c>
      <c r="L2167" s="1" t="s">
        <v>44</v>
      </c>
      <c r="M2167" s="1" t="s">
        <v>1255</v>
      </c>
      <c r="AG2167" s="1" t="s">
        <v>4497</v>
      </c>
      <c r="AH2167" s="2">
        <v>45084</v>
      </c>
      <c r="AI2167" s="2">
        <v>45291</v>
      </c>
      <c r="AJ2167" s="2">
        <v>45084</v>
      </c>
    </row>
    <row r="2168" spans="1:36">
      <c r="A2168" s="1" t="str">
        <f>"Z193B76719"</f>
        <v>Z193B76719</v>
      </c>
      <c r="B2168" s="1" t="str">
        <f t="shared" si="52"/>
        <v>02406911202</v>
      </c>
      <c r="C2168" s="1" t="s">
        <v>13</v>
      </c>
      <c r="D2168" s="1" t="s">
        <v>1253</v>
      </c>
      <c r="E2168" s="1" t="s">
        <v>1387</v>
      </c>
      <c r="F2168" s="1" t="s">
        <v>49</v>
      </c>
      <c r="G2168" s="1" t="str">
        <f>"00226250165"</f>
        <v>00226250165</v>
      </c>
      <c r="I2168" s="1" t="s">
        <v>3143</v>
      </c>
      <c r="L2168" s="1" t="s">
        <v>44</v>
      </c>
      <c r="M2168" s="1" t="s">
        <v>1255</v>
      </c>
      <c r="AG2168" s="1" t="s">
        <v>124</v>
      </c>
      <c r="AH2168" s="2">
        <v>45084</v>
      </c>
      <c r="AI2168" s="2">
        <v>45291</v>
      </c>
      <c r="AJ2168" s="2">
        <v>45084</v>
      </c>
    </row>
    <row r="2169" spans="1:36">
      <c r="A2169" s="1" t="str">
        <f>"9860760C90"</f>
        <v>9860760C90</v>
      </c>
      <c r="B2169" s="1" t="str">
        <f t="shared" si="52"/>
        <v>02406911202</v>
      </c>
      <c r="C2169" s="1" t="s">
        <v>13</v>
      </c>
      <c r="D2169" s="1" t="s">
        <v>37</v>
      </c>
      <c r="E2169" s="1" t="s">
        <v>4151</v>
      </c>
      <c r="F2169" s="1" t="s">
        <v>117</v>
      </c>
      <c r="G2169" s="1" t="str">
        <f>"13522771008"</f>
        <v>13522771008</v>
      </c>
      <c r="I2169" s="1" t="s">
        <v>271</v>
      </c>
      <c r="L2169" s="1" t="s">
        <v>44</v>
      </c>
      <c r="M2169" s="1" t="s">
        <v>514</v>
      </c>
      <c r="AG2169" s="1" t="s">
        <v>4498</v>
      </c>
      <c r="AH2169" s="2">
        <v>45082</v>
      </c>
      <c r="AI2169" s="2">
        <v>45230</v>
      </c>
      <c r="AJ2169" s="2">
        <v>45082</v>
      </c>
    </row>
    <row r="2170" spans="1:36">
      <c r="A2170" s="1" t="str">
        <f>"9860800D92"</f>
        <v>9860800D92</v>
      </c>
      <c r="B2170" s="1" t="str">
        <f t="shared" si="52"/>
        <v>02406911202</v>
      </c>
      <c r="C2170" s="1" t="s">
        <v>13</v>
      </c>
      <c r="D2170" s="1" t="s">
        <v>37</v>
      </c>
      <c r="E2170" s="1" t="s">
        <v>4151</v>
      </c>
      <c r="F2170" s="1" t="s">
        <v>117</v>
      </c>
      <c r="G2170" s="1" t="str">
        <f>"09050810960"</f>
        <v>09050810960</v>
      </c>
      <c r="I2170" s="1" t="s">
        <v>118</v>
      </c>
      <c r="L2170" s="1" t="s">
        <v>44</v>
      </c>
      <c r="M2170" s="1" t="s">
        <v>517</v>
      </c>
      <c r="AG2170" s="1" t="s">
        <v>4499</v>
      </c>
      <c r="AH2170" s="2">
        <v>45082</v>
      </c>
      <c r="AI2170" s="2">
        <v>45230</v>
      </c>
      <c r="AJ2170" s="2">
        <v>45082</v>
      </c>
    </row>
    <row r="2171" spans="1:36">
      <c r="A2171" s="1" t="str">
        <f>"9867632387"</f>
        <v>9867632387</v>
      </c>
      <c r="B2171" s="1" t="str">
        <f t="shared" si="52"/>
        <v>02406911202</v>
      </c>
      <c r="C2171" s="1" t="s">
        <v>13</v>
      </c>
      <c r="D2171" s="1" t="s">
        <v>1312</v>
      </c>
      <c r="E2171" s="1" t="s">
        <v>4500</v>
      </c>
      <c r="F2171" s="1" t="s">
        <v>49</v>
      </c>
      <c r="G2171" s="1" t="str">
        <f>"01767540766"</f>
        <v>01767540766</v>
      </c>
      <c r="I2171" s="1" t="s">
        <v>4501</v>
      </c>
      <c r="L2171" s="1" t="s">
        <v>44</v>
      </c>
      <c r="M2171" s="1" t="s">
        <v>4502</v>
      </c>
      <c r="AG2171" s="1" t="s">
        <v>124</v>
      </c>
      <c r="AH2171" s="2">
        <v>45083</v>
      </c>
      <c r="AI2171" s="2">
        <v>45291</v>
      </c>
      <c r="AJ2171" s="2">
        <v>45083</v>
      </c>
    </row>
    <row r="2172" spans="1:36">
      <c r="A2172" s="1" t="str">
        <f>"ZB63B75791"</f>
        <v>ZB63B75791</v>
      </c>
      <c r="B2172" s="1" t="str">
        <f t="shared" si="52"/>
        <v>02406911202</v>
      </c>
      <c r="C2172" s="1" t="s">
        <v>13</v>
      </c>
      <c r="D2172" s="1" t="s">
        <v>205</v>
      </c>
      <c r="E2172" s="1" t="s">
        <v>4503</v>
      </c>
      <c r="F2172" s="1" t="s">
        <v>49</v>
      </c>
      <c r="G2172" s="1" t="str">
        <f>"03739171209"</f>
        <v>03739171209</v>
      </c>
      <c r="I2172" s="1" t="s">
        <v>4504</v>
      </c>
      <c r="L2172" s="1" t="s">
        <v>44</v>
      </c>
      <c r="M2172" s="1" t="s">
        <v>4505</v>
      </c>
      <c r="AG2172" s="1" t="s">
        <v>4506</v>
      </c>
      <c r="AH2172" s="2">
        <v>45078</v>
      </c>
      <c r="AI2172" s="2">
        <v>45083</v>
      </c>
      <c r="AJ2172" s="2">
        <v>45078</v>
      </c>
    </row>
    <row r="2173" spans="1:36">
      <c r="A2173" s="1" t="str">
        <f>"987651887B"</f>
        <v>987651887B</v>
      </c>
      <c r="B2173" s="1" t="str">
        <f t="shared" si="52"/>
        <v>02406911202</v>
      </c>
      <c r="C2173" s="1" t="s">
        <v>13</v>
      </c>
      <c r="D2173" s="1" t="s">
        <v>37</v>
      </c>
      <c r="E2173" s="1" t="s">
        <v>4507</v>
      </c>
      <c r="F2173" s="1" t="s">
        <v>117</v>
      </c>
      <c r="G2173" s="1" t="str">
        <f>"10338640963"</f>
        <v>10338640963</v>
      </c>
      <c r="I2173" s="1" t="s">
        <v>278</v>
      </c>
      <c r="L2173" s="1" t="s">
        <v>44</v>
      </c>
      <c r="M2173" s="1" t="s">
        <v>4508</v>
      </c>
      <c r="AG2173" s="1" t="s">
        <v>4020</v>
      </c>
      <c r="AH2173" s="2">
        <v>45089</v>
      </c>
      <c r="AI2173" s="2">
        <v>46863</v>
      </c>
      <c r="AJ2173" s="2">
        <v>45089</v>
      </c>
    </row>
    <row r="2174" spans="1:36">
      <c r="A2174" s="1" t="str">
        <f>"9876668445"</f>
        <v>9876668445</v>
      </c>
      <c r="B2174" s="1" t="str">
        <f t="shared" si="52"/>
        <v>02406911202</v>
      </c>
      <c r="C2174" s="1" t="s">
        <v>13</v>
      </c>
      <c r="D2174" s="1" t="s">
        <v>37</v>
      </c>
      <c r="E2174" s="1" t="s">
        <v>4509</v>
      </c>
      <c r="F2174" s="1" t="s">
        <v>117</v>
      </c>
      <c r="G2174" s="1" t="str">
        <f>"10338640963"</f>
        <v>10338640963</v>
      </c>
      <c r="I2174" s="1" t="s">
        <v>278</v>
      </c>
      <c r="L2174" s="1" t="s">
        <v>44</v>
      </c>
      <c r="M2174" s="1" t="s">
        <v>4510</v>
      </c>
      <c r="AG2174" s="1" t="s">
        <v>747</v>
      </c>
      <c r="AH2174" s="2">
        <v>45089</v>
      </c>
      <c r="AI2174" s="2">
        <v>46863</v>
      </c>
      <c r="AJ2174" s="2">
        <v>45089</v>
      </c>
    </row>
    <row r="2175" spans="1:36">
      <c r="A2175" s="1" t="str">
        <f>"9079068BEB"</f>
        <v>9079068BEB</v>
      </c>
      <c r="B2175" s="1" t="str">
        <f t="shared" si="52"/>
        <v>02406911202</v>
      </c>
      <c r="C2175" s="1" t="s">
        <v>13</v>
      </c>
      <c r="D2175" s="1" t="s">
        <v>37</v>
      </c>
      <c r="E2175" s="1" t="s">
        <v>4511</v>
      </c>
      <c r="F2175" s="1" t="s">
        <v>431</v>
      </c>
      <c r="G2175" s="1" t="str">
        <f>"13284060152"</f>
        <v>13284060152</v>
      </c>
      <c r="I2175" s="1" t="s">
        <v>1971</v>
      </c>
      <c r="L2175" s="1" t="s">
        <v>44</v>
      </c>
      <c r="M2175" s="1" t="s">
        <v>4512</v>
      </c>
      <c r="AG2175" s="1" t="s">
        <v>4513</v>
      </c>
      <c r="AH2175" s="2">
        <v>45078</v>
      </c>
      <c r="AI2175" s="2">
        <v>47269</v>
      </c>
      <c r="AJ2175" s="2">
        <v>45078</v>
      </c>
    </row>
    <row r="2176" spans="1:36">
      <c r="A2176" s="1" t="str">
        <f>"ZB63BA45A0"</f>
        <v>ZB63BA45A0</v>
      </c>
      <c r="B2176" s="1" t="str">
        <f t="shared" si="52"/>
        <v>02406911202</v>
      </c>
      <c r="C2176" s="1" t="s">
        <v>13</v>
      </c>
      <c r="D2176" s="1" t="s">
        <v>1253</v>
      </c>
      <c r="E2176" s="1" t="s">
        <v>1260</v>
      </c>
      <c r="F2176" s="1" t="s">
        <v>49</v>
      </c>
      <c r="G2176" s="1" t="str">
        <f>"03279980134"</f>
        <v>03279980134</v>
      </c>
      <c r="I2176" s="1" t="s">
        <v>1285</v>
      </c>
      <c r="L2176" s="1" t="s">
        <v>44</v>
      </c>
      <c r="M2176" s="1" t="s">
        <v>1255</v>
      </c>
      <c r="AG2176" s="1" t="s">
        <v>124</v>
      </c>
      <c r="AH2176" s="2">
        <v>45098</v>
      </c>
      <c r="AI2176" s="2">
        <v>45291</v>
      </c>
      <c r="AJ2176" s="2">
        <v>45098</v>
      </c>
    </row>
    <row r="2177" spans="1:36">
      <c r="A2177" s="1" t="str">
        <f>"988097240B"</f>
        <v>988097240B</v>
      </c>
      <c r="B2177" s="1" t="str">
        <f t="shared" si="52"/>
        <v>02406911202</v>
      </c>
      <c r="C2177" s="1" t="s">
        <v>13</v>
      </c>
      <c r="D2177" s="1" t="s">
        <v>1253</v>
      </c>
      <c r="E2177" s="1" t="s">
        <v>1254</v>
      </c>
      <c r="F2177" s="1" t="s">
        <v>49</v>
      </c>
      <c r="G2177" s="1" t="str">
        <f>"08976680150"</f>
        <v>08976680150</v>
      </c>
      <c r="I2177" s="1" t="s">
        <v>4273</v>
      </c>
      <c r="L2177" s="1" t="s">
        <v>44</v>
      </c>
      <c r="M2177" s="1" t="s">
        <v>2739</v>
      </c>
      <c r="AG2177" s="1" t="s">
        <v>4514</v>
      </c>
      <c r="AH2177" s="2">
        <v>45103</v>
      </c>
      <c r="AI2177" s="2">
        <v>45808</v>
      </c>
      <c r="AJ2177" s="2">
        <v>45103</v>
      </c>
    </row>
    <row r="2178" spans="1:36">
      <c r="A2178" s="1" t="str">
        <f>"99226551F2"</f>
        <v>99226551F2</v>
      </c>
      <c r="B2178" s="1" t="str">
        <f t="shared" si="52"/>
        <v>02406911202</v>
      </c>
      <c r="C2178" s="1" t="s">
        <v>13</v>
      </c>
      <c r="D2178" s="1" t="s">
        <v>1253</v>
      </c>
      <c r="E2178" s="1" t="s">
        <v>1260</v>
      </c>
      <c r="F2178" s="1" t="s">
        <v>49</v>
      </c>
      <c r="G2178" s="1" t="str">
        <f>"01975020130"</f>
        <v>01975020130</v>
      </c>
      <c r="I2178" s="1" t="s">
        <v>1737</v>
      </c>
      <c r="L2178" s="1" t="s">
        <v>44</v>
      </c>
      <c r="M2178" s="1" t="s">
        <v>2849</v>
      </c>
      <c r="AG2178" s="1" t="s">
        <v>4515</v>
      </c>
      <c r="AH2178" s="2">
        <v>45103</v>
      </c>
      <c r="AI2178" s="2">
        <v>45291</v>
      </c>
      <c r="AJ2178" s="2">
        <v>45103</v>
      </c>
    </row>
    <row r="2179" spans="1:36">
      <c r="A2179" s="1" t="str">
        <f>"99102179C6"</f>
        <v>99102179C6</v>
      </c>
      <c r="B2179" s="1" t="str">
        <f t="shared" si="52"/>
        <v>02406911202</v>
      </c>
      <c r="C2179" s="1" t="s">
        <v>13</v>
      </c>
      <c r="D2179" s="1" t="s">
        <v>37</v>
      </c>
      <c r="E2179" s="1" t="s">
        <v>4516</v>
      </c>
      <c r="F2179" s="1" t="s">
        <v>117</v>
      </c>
      <c r="G2179" s="1" t="str">
        <f>"01893311009"</f>
        <v>01893311009</v>
      </c>
      <c r="I2179" s="1" t="s">
        <v>4019</v>
      </c>
      <c r="L2179" s="1" t="s">
        <v>44</v>
      </c>
      <c r="M2179" s="1" t="s">
        <v>751</v>
      </c>
      <c r="AG2179" s="1" t="s">
        <v>4517</v>
      </c>
      <c r="AH2179" s="2">
        <v>45101</v>
      </c>
      <c r="AI2179" s="2">
        <v>45466</v>
      </c>
      <c r="AJ2179" s="2">
        <v>45101</v>
      </c>
    </row>
    <row r="2180" spans="1:36">
      <c r="A2180" s="1" t="str">
        <f>"Z063BA96A1"</f>
        <v>Z063BA96A1</v>
      </c>
      <c r="B2180" s="1" t="str">
        <f t="shared" si="52"/>
        <v>02406911202</v>
      </c>
      <c r="C2180" s="1" t="s">
        <v>13</v>
      </c>
      <c r="D2180" s="1" t="s">
        <v>37</v>
      </c>
      <c r="E2180" s="1" t="s">
        <v>4518</v>
      </c>
      <c r="F2180" s="1" t="s">
        <v>117</v>
      </c>
      <c r="G2180" s="1" t="str">
        <f>"00204260285"</f>
        <v>00204260285</v>
      </c>
      <c r="I2180" s="1" t="s">
        <v>658</v>
      </c>
      <c r="L2180" s="1" t="s">
        <v>44</v>
      </c>
      <c r="M2180" s="1" t="s">
        <v>4519</v>
      </c>
      <c r="AG2180" s="1" t="s">
        <v>124</v>
      </c>
      <c r="AH2180" s="2">
        <v>45105</v>
      </c>
      <c r="AI2180" s="2">
        <v>46022</v>
      </c>
      <c r="AJ2180" s="2">
        <v>45105</v>
      </c>
    </row>
    <row r="2181" spans="1:36">
      <c r="A2181" s="1" t="str">
        <f>"ZE53BA96ED"</f>
        <v>ZE53BA96ED</v>
      </c>
      <c r="B2181" s="1" t="str">
        <f t="shared" si="52"/>
        <v>02406911202</v>
      </c>
      <c r="C2181" s="1" t="s">
        <v>13</v>
      </c>
      <c r="D2181" s="1" t="s">
        <v>37</v>
      </c>
      <c r="E2181" s="1" t="s">
        <v>4520</v>
      </c>
      <c r="F2181" s="1" t="s">
        <v>117</v>
      </c>
      <c r="G2181" s="1" t="str">
        <f>"13206920152"</f>
        <v>13206920152</v>
      </c>
      <c r="I2181" s="1" t="s">
        <v>3568</v>
      </c>
      <c r="L2181" s="1" t="s">
        <v>44</v>
      </c>
      <c r="M2181" s="1" t="s">
        <v>4521</v>
      </c>
      <c r="AG2181" s="1" t="s">
        <v>124</v>
      </c>
      <c r="AH2181" s="2">
        <v>45105</v>
      </c>
      <c r="AI2181" s="2">
        <v>46022</v>
      </c>
      <c r="AJ2181" s="2">
        <v>45105</v>
      </c>
    </row>
    <row r="2182" spans="1:36">
      <c r="A2182" s="1" t="str">
        <f>"ZEF3BA97A9"</f>
        <v>ZEF3BA97A9</v>
      </c>
      <c r="B2182" s="1" t="str">
        <f t="shared" ref="B2182:B2245" si="53">"02406911202"</f>
        <v>02406911202</v>
      </c>
      <c r="C2182" s="1" t="s">
        <v>13</v>
      </c>
      <c r="D2182" s="1" t="s">
        <v>37</v>
      </c>
      <c r="E2182" s="1" t="s">
        <v>4522</v>
      </c>
      <c r="F2182" s="1" t="s">
        <v>117</v>
      </c>
      <c r="G2182" s="1" t="str">
        <f>"02789580590"</f>
        <v>02789580590</v>
      </c>
      <c r="I2182" s="1" t="s">
        <v>1827</v>
      </c>
      <c r="L2182" s="1" t="s">
        <v>44</v>
      </c>
      <c r="M2182" s="1" t="s">
        <v>4523</v>
      </c>
      <c r="AG2182" s="1" t="s">
        <v>124</v>
      </c>
      <c r="AH2182" s="2">
        <v>45105</v>
      </c>
      <c r="AI2182" s="2">
        <v>46022</v>
      </c>
      <c r="AJ2182" s="2">
        <v>45105</v>
      </c>
    </row>
    <row r="2183" spans="1:36">
      <c r="A2183" s="1" t="str">
        <f>"9911517A91"</f>
        <v>9911517A91</v>
      </c>
      <c r="B2183" s="1" t="str">
        <f t="shared" si="53"/>
        <v>02406911202</v>
      </c>
      <c r="C2183" s="1" t="s">
        <v>13</v>
      </c>
      <c r="D2183" s="1" t="s">
        <v>37</v>
      </c>
      <c r="E2183" s="1" t="s">
        <v>4524</v>
      </c>
      <c r="F2183" s="1" t="s">
        <v>117</v>
      </c>
      <c r="G2183" s="1" t="str">
        <f>"02457060032"</f>
        <v>02457060032</v>
      </c>
      <c r="I2183" s="1" t="s">
        <v>1263</v>
      </c>
      <c r="L2183" s="1" t="s">
        <v>44</v>
      </c>
      <c r="M2183" s="1" t="s">
        <v>4525</v>
      </c>
      <c r="AG2183" s="1" t="s">
        <v>124</v>
      </c>
      <c r="AH2183" s="2">
        <v>45105</v>
      </c>
      <c r="AI2183" s="2">
        <v>46022</v>
      </c>
      <c r="AJ2183" s="2">
        <v>45105</v>
      </c>
    </row>
    <row r="2184" spans="1:36">
      <c r="A2184" s="1" t="str">
        <f>"Z563BA9895"</f>
        <v>Z563BA9895</v>
      </c>
      <c r="B2184" s="1" t="str">
        <f t="shared" si="53"/>
        <v>02406911202</v>
      </c>
      <c r="C2184" s="1" t="s">
        <v>13</v>
      </c>
      <c r="D2184" s="1" t="s">
        <v>37</v>
      </c>
      <c r="E2184" s="1" t="s">
        <v>4526</v>
      </c>
      <c r="F2184" s="1" t="s">
        <v>117</v>
      </c>
      <c r="G2184" s="1" t="str">
        <f>"00244540100"</f>
        <v>00244540100</v>
      </c>
      <c r="I2184" s="1" t="s">
        <v>4527</v>
      </c>
      <c r="L2184" s="1" t="s">
        <v>44</v>
      </c>
      <c r="M2184" s="1" t="s">
        <v>4528</v>
      </c>
      <c r="AG2184" s="1" t="s">
        <v>124</v>
      </c>
      <c r="AH2184" s="2">
        <v>45105</v>
      </c>
      <c r="AI2184" s="2">
        <v>46022</v>
      </c>
      <c r="AJ2184" s="2">
        <v>45105</v>
      </c>
    </row>
    <row r="2185" spans="1:36">
      <c r="A2185" s="1" t="str">
        <f>"Z773AC216C"</f>
        <v>Z773AC216C</v>
      </c>
      <c r="B2185" s="1" t="str">
        <f t="shared" si="53"/>
        <v>02406911202</v>
      </c>
      <c r="C2185" s="1" t="s">
        <v>13</v>
      </c>
      <c r="D2185" s="1" t="s">
        <v>1312</v>
      </c>
      <c r="E2185" s="1" t="s">
        <v>4529</v>
      </c>
      <c r="F2185" s="1" t="s">
        <v>49</v>
      </c>
      <c r="G2185" s="1" t="str">
        <f>"00503151201"</f>
        <v>00503151201</v>
      </c>
      <c r="I2185" s="1" t="s">
        <v>2329</v>
      </c>
      <c r="L2185" s="1" t="s">
        <v>44</v>
      </c>
      <c r="M2185" s="1" t="s">
        <v>1314</v>
      </c>
      <c r="AG2185" s="1" t="s">
        <v>4530</v>
      </c>
      <c r="AH2185" s="2">
        <v>45029</v>
      </c>
      <c r="AI2185" s="2">
        <v>46022</v>
      </c>
      <c r="AJ2185" s="2">
        <v>45029</v>
      </c>
    </row>
    <row r="2186" spans="1:36">
      <c r="A2186" s="1" t="str">
        <f>"Z913ABC567"</f>
        <v>Z913ABC567</v>
      </c>
      <c r="B2186" s="1" t="str">
        <f t="shared" si="53"/>
        <v>02406911202</v>
      </c>
      <c r="C2186" s="1" t="s">
        <v>13</v>
      </c>
      <c r="D2186" s="1" t="s">
        <v>37</v>
      </c>
      <c r="E2186" s="1" t="s">
        <v>4531</v>
      </c>
      <c r="F2186" s="1" t="s">
        <v>117</v>
      </c>
      <c r="G2186" s="1" t="str">
        <f>"00889160156"</f>
        <v>00889160156</v>
      </c>
      <c r="I2186" s="1" t="s">
        <v>4532</v>
      </c>
      <c r="L2186" s="1" t="s">
        <v>44</v>
      </c>
      <c r="M2186" s="1" t="s">
        <v>4533</v>
      </c>
      <c r="AG2186" s="1" t="s">
        <v>124</v>
      </c>
      <c r="AH2186" s="2">
        <v>45017</v>
      </c>
      <c r="AI2186" s="2">
        <v>46477</v>
      </c>
      <c r="AJ2186" s="2">
        <v>45017</v>
      </c>
    </row>
    <row r="2187" spans="1:36">
      <c r="A2187" s="1" t="str">
        <f>"Z813AC3CA1"</f>
        <v>Z813AC3CA1</v>
      </c>
      <c r="B2187" s="1" t="str">
        <f t="shared" si="53"/>
        <v>02406911202</v>
      </c>
      <c r="C2187" s="1" t="s">
        <v>13</v>
      </c>
      <c r="D2187" s="1" t="s">
        <v>1253</v>
      </c>
      <c r="E2187" s="1" t="s">
        <v>1254</v>
      </c>
      <c r="F2187" s="1" t="s">
        <v>49</v>
      </c>
      <c r="G2187" s="1" t="str">
        <f>"03830250712"</f>
        <v>03830250712</v>
      </c>
      <c r="I2187" s="1" t="s">
        <v>4534</v>
      </c>
      <c r="L2187" s="1" t="s">
        <v>44</v>
      </c>
      <c r="M2187" s="1" t="s">
        <v>1255</v>
      </c>
      <c r="AG2187" s="1" t="s">
        <v>4535</v>
      </c>
      <c r="AH2187" s="2">
        <v>45029</v>
      </c>
      <c r="AI2187" s="2">
        <v>45291</v>
      </c>
      <c r="AJ2187" s="2">
        <v>45029</v>
      </c>
    </row>
    <row r="2188" spans="1:36">
      <c r="A2188" s="1" t="str">
        <f>"97627869DD"</f>
        <v>97627869DD</v>
      </c>
      <c r="B2188" s="1" t="str">
        <f t="shared" si="53"/>
        <v>02406911202</v>
      </c>
      <c r="C2188" s="1" t="s">
        <v>13</v>
      </c>
      <c r="D2188" s="1" t="s">
        <v>1312</v>
      </c>
      <c r="E2188" s="1" t="s">
        <v>4536</v>
      </c>
      <c r="F2188" s="1" t="s">
        <v>49</v>
      </c>
      <c r="G2188" s="1" t="str">
        <f>"09158150962"</f>
        <v>09158150962</v>
      </c>
      <c r="I2188" s="1" t="s">
        <v>72</v>
      </c>
      <c r="L2188" s="1" t="s">
        <v>44</v>
      </c>
      <c r="M2188" s="1" t="s">
        <v>4537</v>
      </c>
      <c r="AG2188" s="1" t="s">
        <v>4538</v>
      </c>
      <c r="AH2188" s="2">
        <v>45034</v>
      </c>
      <c r="AI2188" s="2">
        <v>45657</v>
      </c>
      <c r="AJ2188" s="2">
        <v>45034</v>
      </c>
    </row>
    <row r="2189" spans="1:36">
      <c r="A2189" s="1" t="str">
        <f>"9765329C69"</f>
        <v>9765329C69</v>
      </c>
      <c r="B2189" s="1" t="str">
        <f t="shared" si="53"/>
        <v>02406911202</v>
      </c>
      <c r="C2189" s="1" t="s">
        <v>13</v>
      </c>
      <c r="D2189" s="1" t="s">
        <v>1312</v>
      </c>
      <c r="E2189" s="1" t="s">
        <v>3864</v>
      </c>
      <c r="F2189" s="1" t="s">
        <v>49</v>
      </c>
      <c r="G2189" s="1" t="str">
        <f>"00549731206"</f>
        <v>00549731206</v>
      </c>
      <c r="I2189" s="1" t="s">
        <v>1391</v>
      </c>
      <c r="L2189" s="1" t="s">
        <v>44</v>
      </c>
      <c r="M2189" s="1" t="s">
        <v>2073</v>
      </c>
      <c r="AG2189" s="1" t="s">
        <v>4539</v>
      </c>
      <c r="AH2189" s="2">
        <v>45034</v>
      </c>
      <c r="AI2189" s="2">
        <v>45412</v>
      </c>
      <c r="AJ2189" s="2">
        <v>45034</v>
      </c>
    </row>
    <row r="2190" spans="1:36">
      <c r="A2190" s="1" t="str">
        <f>"Z333B03DC4"</f>
        <v>Z333B03DC4</v>
      </c>
      <c r="B2190" s="1" t="str">
        <f t="shared" si="53"/>
        <v>02406911202</v>
      </c>
      <c r="C2190" s="1" t="s">
        <v>13</v>
      </c>
      <c r="D2190" s="1" t="s">
        <v>205</v>
      </c>
      <c r="E2190" s="1" t="s">
        <v>4540</v>
      </c>
      <c r="F2190" s="1" t="s">
        <v>49</v>
      </c>
      <c r="G2190" s="1" t="str">
        <f>"02564411201"</f>
        <v>02564411201</v>
      </c>
      <c r="I2190" s="1" t="s">
        <v>4541</v>
      </c>
      <c r="L2190" s="1" t="s">
        <v>44</v>
      </c>
      <c r="M2190" s="1" t="s">
        <v>4542</v>
      </c>
      <c r="AG2190" s="1" t="s">
        <v>4543</v>
      </c>
      <c r="AH2190" s="2">
        <v>44927</v>
      </c>
      <c r="AI2190" s="2">
        <v>45291</v>
      </c>
      <c r="AJ2190" s="2">
        <v>44927</v>
      </c>
    </row>
    <row r="2191" spans="1:36">
      <c r="A2191" s="1" t="str">
        <f>"Z4B3B0443C"</f>
        <v>Z4B3B0443C</v>
      </c>
      <c r="B2191" s="1" t="str">
        <f t="shared" si="53"/>
        <v>02406911202</v>
      </c>
      <c r="C2191" s="1" t="s">
        <v>13</v>
      </c>
      <c r="D2191" s="1" t="s">
        <v>1312</v>
      </c>
      <c r="E2191" s="1" t="s">
        <v>4544</v>
      </c>
      <c r="F2191" s="1" t="s">
        <v>49</v>
      </c>
      <c r="G2191" s="1" t="str">
        <f>"03597020373"</f>
        <v>03597020373</v>
      </c>
      <c r="I2191" s="1" t="s">
        <v>920</v>
      </c>
      <c r="L2191" s="1" t="s">
        <v>44</v>
      </c>
      <c r="M2191" s="1" t="s">
        <v>1314</v>
      </c>
      <c r="AG2191" s="1" t="s">
        <v>4057</v>
      </c>
      <c r="AH2191" s="2">
        <v>45050</v>
      </c>
      <c r="AI2191" s="2">
        <v>46022</v>
      </c>
      <c r="AJ2191" s="2">
        <v>45050</v>
      </c>
    </row>
    <row r="2192" spans="1:36">
      <c r="A2192" s="1" t="str">
        <f>"Z863B04473"</f>
        <v>Z863B04473</v>
      </c>
      <c r="B2192" s="1" t="str">
        <f t="shared" si="53"/>
        <v>02406911202</v>
      </c>
      <c r="C2192" s="1" t="s">
        <v>13</v>
      </c>
      <c r="D2192" s="1" t="s">
        <v>1253</v>
      </c>
      <c r="E2192" s="1" t="s">
        <v>1260</v>
      </c>
      <c r="F2192" s="1" t="s">
        <v>49</v>
      </c>
      <c r="G2192" s="1" t="str">
        <f>"12259760150"</f>
        <v>12259760150</v>
      </c>
      <c r="I2192" s="1" t="s">
        <v>1605</v>
      </c>
      <c r="L2192" s="1" t="s">
        <v>44</v>
      </c>
      <c r="M2192" s="1" t="s">
        <v>1255</v>
      </c>
      <c r="AG2192" s="1" t="s">
        <v>4545</v>
      </c>
      <c r="AH2192" s="2">
        <v>45050</v>
      </c>
      <c r="AI2192" s="2">
        <v>45291</v>
      </c>
      <c r="AJ2192" s="2">
        <v>45050</v>
      </c>
    </row>
    <row r="2193" spans="1:36">
      <c r="A2193" s="1" t="str">
        <f>"ZF43B0E28A"</f>
        <v>ZF43B0E28A</v>
      </c>
      <c r="B2193" s="1" t="str">
        <f t="shared" si="53"/>
        <v>02406911202</v>
      </c>
      <c r="C2193" s="1" t="s">
        <v>13</v>
      </c>
      <c r="D2193" s="1" t="s">
        <v>205</v>
      </c>
      <c r="E2193" s="1" t="s">
        <v>4546</v>
      </c>
      <c r="F2193" s="1" t="s">
        <v>49</v>
      </c>
      <c r="G2193" s="1" t="str">
        <f>"02701201200"</f>
        <v>02701201200</v>
      </c>
      <c r="I2193" s="1" t="s">
        <v>4547</v>
      </c>
      <c r="L2193" s="1" t="s">
        <v>44</v>
      </c>
      <c r="M2193" s="1" t="s">
        <v>4548</v>
      </c>
      <c r="AG2193" s="1" t="s">
        <v>4549</v>
      </c>
      <c r="AH2193" s="2">
        <v>44927</v>
      </c>
      <c r="AI2193" s="2">
        <v>45291</v>
      </c>
      <c r="AJ2193" s="2">
        <v>44927</v>
      </c>
    </row>
    <row r="2194" spans="1:36">
      <c r="A2194" s="1" t="str">
        <f>"Z383B15E64"</f>
        <v>Z383B15E64</v>
      </c>
      <c r="B2194" s="1" t="str">
        <f t="shared" si="53"/>
        <v>02406911202</v>
      </c>
      <c r="C2194" s="1" t="s">
        <v>13</v>
      </c>
      <c r="D2194" s="1" t="s">
        <v>1257</v>
      </c>
      <c r="E2194" s="1" t="s">
        <v>4550</v>
      </c>
      <c r="F2194" s="1" t="s">
        <v>49</v>
      </c>
      <c r="G2194" s="1" t="str">
        <f>"03389641204"</f>
        <v>03389641204</v>
      </c>
      <c r="I2194" s="1" t="s">
        <v>4551</v>
      </c>
      <c r="L2194" s="1" t="s">
        <v>44</v>
      </c>
      <c r="M2194" s="1" t="s">
        <v>153</v>
      </c>
      <c r="AG2194" s="1" t="s">
        <v>124</v>
      </c>
      <c r="AH2194" s="2">
        <v>45056</v>
      </c>
      <c r="AI2194" s="2">
        <v>45063</v>
      </c>
      <c r="AJ2194" s="2">
        <v>45056</v>
      </c>
    </row>
    <row r="2195" spans="1:36">
      <c r="A2195" s="1" t="str">
        <f>"Z8E3B16000"</f>
        <v>Z8E3B16000</v>
      </c>
      <c r="B2195" s="1" t="str">
        <f t="shared" si="53"/>
        <v>02406911202</v>
      </c>
      <c r="C2195" s="1" t="s">
        <v>13</v>
      </c>
      <c r="D2195" s="1" t="s">
        <v>1257</v>
      </c>
      <c r="E2195" s="1" t="s">
        <v>4552</v>
      </c>
      <c r="F2195" s="1" t="s">
        <v>49</v>
      </c>
      <c r="G2195" s="1" t="str">
        <f>"03797420969"</f>
        <v>03797420969</v>
      </c>
      <c r="I2195" s="1" t="s">
        <v>2660</v>
      </c>
      <c r="L2195" s="1" t="s">
        <v>44</v>
      </c>
      <c r="M2195" s="1" t="s">
        <v>4553</v>
      </c>
      <c r="AG2195" s="1" t="s">
        <v>124</v>
      </c>
      <c r="AH2195" s="2">
        <v>45056</v>
      </c>
      <c r="AI2195" s="2">
        <v>45063</v>
      </c>
      <c r="AJ2195" s="2">
        <v>45056</v>
      </c>
    </row>
    <row r="2196" spans="1:36">
      <c r="A2196" s="1" t="str">
        <f>"Z8A3B162D8"</f>
        <v>Z8A3B162D8</v>
      </c>
      <c r="B2196" s="1" t="str">
        <f t="shared" si="53"/>
        <v>02406911202</v>
      </c>
      <c r="C2196" s="1" t="s">
        <v>13</v>
      </c>
      <c r="D2196" s="1" t="s">
        <v>1253</v>
      </c>
      <c r="E2196" s="1" t="s">
        <v>1262</v>
      </c>
      <c r="F2196" s="1" t="s">
        <v>49</v>
      </c>
      <c r="G2196" s="1" t="str">
        <f>"13445820155"</f>
        <v>13445820155</v>
      </c>
      <c r="I2196" s="1" t="s">
        <v>1909</v>
      </c>
      <c r="L2196" s="1" t="s">
        <v>44</v>
      </c>
      <c r="M2196" s="1" t="s">
        <v>1255</v>
      </c>
      <c r="AG2196" s="1" t="s">
        <v>4554</v>
      </c>
      <c r="AH2196" s="2">
        <v>45056</v>
      </c>
      <c r="AI2196" s="2">
        <v>45291</v>
      </c>
      <c r="AJ2196" s="2">
        <v>45056</v>
      </c>
    </row>
    <row r="2197" spans="1:36">
      <c r="A2197" s="1" t="str">
        <f>"ZD73B72798"</f>
        <v>ZD73B72798</v>
      </c>
      <c r="B2197" s="1" t="str">
        <f t="shared" si="53"/>
        <v>02406911202</v>
      </c>
      <c r="C2197" s="1" t="s">
        <v>13</v>
      </c>
      <c r="D2197" s="1" t="s">
        <v>1257</v>
      </c>
      <c r="E2197" s="1" t="s">
        <v>4555</v>
      </c>
      <c r="F2197" s="1" t="s">
        <v>49</v>
      </c>
      <c r="G2197" s="1" t="str">
        <f>"06032681006"</f>
        <v>06032681006</v>
      </c>
      <c r="I2197" s="1" t="s">
        <v>1351</v>
      </c>
      <c r="L2197" s="1" t="s">
        <v>44</v>
      </c>
      <c r="M2197" s="1" t="s">
        <v>930</v>
      </c>
      <c r="AG2197" s="1" t="s">
        <v>4556</v>
      </c>
      <c r="AH2197" s="2">
        <v>45083</v>
      </c>
      <c r="AI2197" s="2">
        <v>45291</v>
      </c>
      <c r="AJ2197" s="2">
        <v>45083</v>
      </c>
    </row>
    <row r="2198" spans="1:36">
      <c r="A2198" s="1" t="str">
        <f>"9860685EAB"</f>
        <v>9860685EAB</v>
      </c>
      <c r="B2198" s="1" t="str">
        <f t="shared" si="53"/>
        <v>02406911202</v>
      </c>
      <c r="C2198" s="1" t="s">
        <v>13</v>
      </c>
      <c r="D2198" s="1" t="s">
        <v>37</v>
      </c>
      <c r="E2198" s="1" t="s">
        <v>4151</v>
      </c>
      <c r="F2198" s="1" t="s">
        <v>117</v>
      </c>
      <c r="G2198" s="1" t="str">
        <f>"05688870483"</f>
        <v>05688870483</v>
      </c>
      <c r="I2198" s="1" t="s">
        <v>264</v>
      </c>
      <c r="L2198" s="1" t="s">
        <v>44</v>
      </c>
      <c r="M2198" s="1" t="s">
        <v>509</v>
      </c>
      <c r="AG2198" s="1" t="s">
        <v>124</v>
      </c>
      <c r="AH2198" s="2">
        <v>45082</v>
      </c>
      <c r="AI2198" s="2">
        <v>45230</v>
      </c>
      <c r="AJ2198" s="2">
        <v>45082</v>
      </c>
    </row>
    <row r="2199" spans="1:36">
      <c r="A2199" s="1" t="str">
        <f>"Z6B3B7AE39"</f>
        <v>Z6B3B7AE39</v>
      </c>
      <c r="B2199" s="1" t="str">
        <f t="shared" si="53"/>
        <v>02406911202</v>
      </c>
      <c r="C2199" s="1" t="s">
        <v>13</v>
      </c>
      <c r="D2199" s="1" t="s">
        <v>205</v>
      </c>
      <c r="E2199" s="1" t="s">
        <v>4557</v>
      </c>
      <c r="F2199" s="1" t="s">
        <v>4463</v>
      </c>
      <c r="G2199" s="1" t="str">
        <f>"02171351204"</f>
        <v>02171351204</v>
      </c>
      <c r="I2199" s="1" t="s">
        <v>4558</v>
      </c>
      <c r="L2199" s="1" t="s">
        <v>44</v>
      </c>
      <c r="M2199" s="1" t="s">
        <v>4559</v>
      </c>
      <c r="AG2199" s="1" t="s">
        <v>4559</v>
      </c>
      <c r="AH2199" s="2">
        <v>45085</v>
      </c>
      <c r="AI2199" s="2">
        <v>45291</v>
      </c>
      <c r="AJ2199" s="2">
        <v>45085</v>
      </c>
    </row>
    <row r="2200" spans="1:36">
      <c r="A2200" s="1" t="str">
        <f>"Z3F3B851DE"</f>
        <v>Z3F3B851DE</v>
      </c>
      <c r="B2200" s="1" t="str">
        <f t="shared" si="53"/>
        <v>02406911202</v>
      </c>
      <c r="C2200" s="1" t="s">
        <v>13</v>
      </c>
      <c r="D2200" s="1" t="s">
        <v>1312</v>
      </c>
      <c r="E2200" s="1" t="s">
        <v>4560</v>
      </c>
      <c r="F2200" s="1" t="s">
        <v>49</v>
      </c>
      <c r="G2200" s="1" t="str">
        <f>"02491851206"</f>
        <v>02491851206</v>
      </c>
      <c r="I2200" s="1" t="s">
        <v>2136</v>
      </c>
      <c r="L2200" s="1" t="s">
        <v>44</v>
      </c>
      <c r="M2200" s="1" t="s">
        <v>1735</v>
      </c>
      <c r="AG2200" s="1" t="s">
        <v>124</v>
      </c>
      <c r="AH2200" s="2">
        <v>45090</v>
      </c>
      <c r="AI2200" s="2">
        <v>45291</v>
      </c>
      <c r="AJ2200" s="2">
        <v>45090</v>
      </c>
    </row>
    <row r="2201" spans="1:36">
      <c r="A2201" s="1" t="str">
        <f>"Z793BA4DB2"</f>
        <v>Z793BA4DB2</v>
      </c>
      <c r="B2201" s="1" t="str">
        <f t="shared" si="53"/>
        <v>02406911202</v>
      </c>
      <c r="C2201" s="1" t="s">
        <v>13</v>
      </c>
      <c r="D2201" s="1" t="s">
        <v>1741</v>
      </c>
      <c r="E2201" s="1" t="s">
        <v>4561</v>
      </c>
      <c r="F2201" s="1" t="s">
        <v>39</v>
      </c>
      <c r="G2201" s="1" t="str">
        <f>"01883740647"</f>
        <v>01883740647</v>
      </c>
      <c r="I2201" s="1" t="s">
        <v>4562</v>
      </c>
      <c r="L2201" s="1" t="s">
        <v>44</v>
      </c>
      <c r="M2201" s="1" t="s">
        <v>4563</v>
      </c>
      <c r="AG2201" s="1" t="s">
        <v>4563</v>
      </c>
      <c r="AH2201" s="2">
        <v>45098</v>
      </c>
      <c r="AI2201" s="2">
        <v>45291</v>
      </c>
      <c r="AJ2201" s="2">
        <v>45098</v>
      </c>
    </row>
    <row r="2202" spans="1:36">
      <c r="A2202" s="1" t="str">
        <f>"98622412BC"</f>
        <v>98622412BC</v>
      </c>
      <c r="B2202" s="1" t="str">
        <f t="shared" si="53"/>
        <v>02406911202</v>
      </c>
      <c r="C2202" s="1" t="s">
        <v>13</v>
      </c>
      <c r="D2202" s="1" t="s">
        <v>37</v>
      </c>
      <c r="E2202" s="1" t="s">
        <v>4564</v>
      </c>
      <c r="F2202" s="1" t="s">
        <v>39</v>
      </c>
      <c r="G2202" s="1" t="str">
        <f>"00615530672"</f>
        <v>00615530672</v>
      </c>
      <c r="I2202" s="1" t="s">
        <v>667</v>
      </c>
      <c r="L2202" s="1" t="s">
        <v>44</v>
      </c>
      <c r="M2202" s="1" t="s">
        <v>669</v>
      </c>
      <c r="AG2202" s="1" t="s">
        <v>124</v>
      </c>
      <c r="AH2202" s="2">
        <v>45078</v>
      </c>
      <c r="AI2202" s="2">
        <v>45443</v>
      </c>
      <c r="AJ2202" s="2">
        <v>45078</v>
      </c>
    </row>
    <row r="2203" spans="1:36">
      <c r="A2203" s="1" t="str">
        <f>"9862294E75"</f>
        <v>9862294E75</v>
      </c>
      <c r="B2203" s="1" t="str">
        <f t="shared" si="53"/>
        <v>02406911202</v>
      </c>
      <c r="C2203" s="1" t="s">
        <v>13</v>
      </c>
      <c r="D2203" s="1" t="s">
        <v>37</v>
      </c>
      <c r="E2203" s="1" t="s">
        <v>4565</v>
      </c>
      <c r="F2203" s="1" t="s">
        <v>39</v>
      </c>
      <c r="G2203" s="1" t="str">
        <f>"00352000293"</f>
        <v>00352000293</v>
      </c>
      <c r="I2203" s="1" t="s">
        <v>683</v>
      </c>
      <c r="L2203" s="1" t="s">
        <v>44</v>
      </c>
      <c r="M2203" s="1" t="s">
        <v>685</v>
      </c>
      <c r="AG2203" s="1" t="s">
        <v>124</v>
      </c>
      <c r="AH2203" s="2">
        <v>45078</v>
      </c>
      <c r="AI2203" s="2">
        <v>45443</v>
      </c>
      <c r="AJ2203" s="2">
        <v>45078</v>
      </c>
    </row>
    <row r="2204" spans="1:36">
      <c r="A2204" s="1" t="str">
        <f>"9921625FF2"</f>
        <v>9921625FF2</v>
      </c>
      <c r="B2204" s="1" t="str">
        <f t="shared" si="53"/>
        <v>02406911202</v>
      </c>
      <c r="C2204" s="1" t="s">
        <v>13</v>
      </c>
      <c r="D2204" s="1" t="s">
        <v>1312</v>
      </c>
      <c r="E2204" s="1" t="s">
        <v>4566</v>
      </c>
      <c r="F2204" s="1" t="s">
        <v>49</v>
      </c>
      <c r="G2204" s="1" t="str">
        <f>"05096510267"</f>
        <v>05096510267</v>
      </c>
      <c r="I2204" s="1" t="s">
        <v>3095</v>
      </c>
      <c r="L2204" s="1" t="s">
        <v>44</v>
      </c>
      <c r="M2204" s="1" t="s">
        <v>4567</v>
      </c>
      <c r="AG2204" s="1" t="s">
        <v>124</v>
      </c>
      <c r="AH2204" s="2">
        <v>45106</v>
      </c>
      <c r="AI2204" s="2">
        <v>45291</v>
      </c>
      <c r="AJ2204" s="2">
        <v>45106</v>
      </c>
    </row>
    <row r="2205" spans="1:36">
      <c r="A2205" s="1" t="str">
        <f>"Z483BBDB4E"</f>
        <v>Z483BBDB4E</v>
      </c>
      <c r="B2205" s="1" t="str">
        <f t="shared" si="53"/>
        <v>02406911202</v>
      </c>
      <c r="C2205" s="1" t="s">
        <v>13</v>
      </c>
      <c r="D2205" s="1" t="s">
        <v>1312</v>
      </c>
      <c r="E2205" s="1" t="s">
        <v>4568</v>
      </c>
      <c r="F2205" s="1" t="s">
        <v>49</v>
      </c>
      <c r="G2205" s="1" t="str">
        <f>"01693020206"</f>
        <v>01693020206</v>
      </c>
      <c r="I2205" s="1" t="s">
        <v>1632</v>
      </c>
      <c r="L2205" s="1" t="s">
        <v>44</v>
      </c>
      <c r="M2205" s="1" t="s">
        <v>1314</v>
      </c>
      <c r="AG2205" s="1" t="s">
        <v>124</v>
      </c>
      <c r="AH2205" s="2">
        <v>45106</v>
      </c>
      <c r="AI2205" s="2">
        <v>46022</v>
      </c>
      <c r="AJ2205" s="2">
        <v>45106</v>
      </c>
    </row>
    <row r="2206" spans="1:36">
      <c r="A2206" s="1" t="str">
        <f>"Z403B9E908"</f>
        <v>Z403B9E908</v>
      </c>
      <c r="B2206" s="1" t="str">
        <f t="shared" si="53"/>
        <v>02406911202</v>
      </c>
      <c r="C2206" s="1" t="s">
        <v>13</v>
      </c>
      <c r="D2206" s="1" t="s">
        <v>1741</v>
      </c>
      <c r="E2206" s="1" t="s">
        <v>4569</v>
      </c>
      <c r="F2206" s="1" t="s">
        <v>39</v>
      </c>
      <c r="G2206" s="1" t="str">
        <f>"02376321200"</f>
        <v>02376321200</v>
      </c>
      <c r="I2206" s="1" t="s">
        <v>1884</v>
      </c>
      <c r="L2206" s="1" t="s">
        <v>44</v>
      </c>
      <c r="M2206" s="1" t="s">
        <v>4570</v>
      </c>
      <c r="AG2206" s="1" t="s">
        <v>4570</v>
      </c>
      <c r="AH2206" s="2">
        <v>45097</v>
      </c>
      <c r="AI2206" s="2">
        <v>45291</v>
      </c>
      <c r="AJ2206" s="2">
        <v>45097</v>
      </c>
    </row>
    <row r="2207" spans="1:36">
      <c r="A2207" s="1" t="str">
        <f>"ZC73BC22CB"</f>
        <v>ZC73BC22CB</v>
      </c>
      <c r="B2207" s="1" t="str">
        <f t="shared" si="53"/>
        <v>02406911202</v>
      </c>
      <c r="C2207" s="1" t="s">
        <v>13</v>
      </c>
      <c r="D2207" s="1" t="s">
        <v>1253</v>
      </c>
      <c r="E2207" s="1" t="s">
        <v>1387</v>
      </c>
      <c r="F2207" s="1" t="s">
        <v>49</v>
      </c>
      <c r="G2207" s="1" t="str">
        <f>"11496970150"</f>
        <v>11496970150</v>
      </c>
      <c r="I2207" s="1" t="s">
        <v>4571</v>
      </c>
      <c r="L2207" s="1" t="s">
        <v>44</v>
      </c>
      <c r="M2207" s="1" t="s">
        <v>1255</v>
      </c>
      <c r="AG2207" s="1" t="s">
        <v>4572</v>
      </c>
      <c r="AH2207" s="2">
        <v>45107</v>
      </c>
      <c r="AI2207" s="2">
        <v>45291</v>
      </c>
      <c r="AJ2207" s="2">
        <v>45107</v>
      </c>
    </row>
    <row r="2208" spans="1:36">
      <c r="A2208" s="1" t="str">
        <f>"ZBB3AE85EA"</f>
        <v>ZBB3AE85EA</v>
      </c>
      <c r="B2208" s="1" t="str">
        <f t="shared" si="53"/>
        <v>02406911202</v>
      </c>
      <c r="C2208" s="1" t="s">
        <v>13</v>
      </c>
      <c r="D2208" s="1" t="s">
        <v>1257</v>
      </c>
      <c r="E2208" s="1" t="s">
        <v>4573</v>
      </c>
      <c r="F2208" s="1" t="s">
        <v>49</v>
      </c>
      <c r="G2208" s="1" t="str">
        <f>"03216320543"</f>
        <v>03216320543</v>
      </c>
      <c r="I2208" s="1" t="s">
        <v>4574</v>
      </c>
      <c r="L2208" s="1" t="s">
        <v>44</v>
      </c>
      <c r="M2208" s="1" t="s">
        <v>153</v>
      </c>
      <c r="AG2208" s="1" t="s">
        <v>3516</v>
      </c>
      <c r="AH2208" s="2">
        <v>45042</v>
      </c>
      <c r="AI2208" s="2">
        <v>45291</v>
      </c>
      <c r="AJ2208" s="2">
        <v>45042</v>
      </c>
    </row>
    <row r="2209" spans="1:36">
      <c r="A2209" s="1" t="str">
        <f>"ZBA3AFADBF"</f>
        <v>ZBA3AFADBF</v>
      </c>
      <c r="B2209" s="1" t="str">
        <f t="shared" si="53"/>
        <v>02406911202</v>
      </c>
      <c r="C2209" s="1" t="s">
        <v>13</v>
      </c>
      <c r="D2209" s="1" t="s">
        <v>1253</v>
      </c>
      <c r="E2209" s="1" t="s">
        <v>1387</v>
      </c>
      <c r="F2209" s="1" t="s">
        <v>49</v>
      </c>
      <c r="G2209" s="1" t="str">
        <f>"00228550273"</f>
        <v>00228550273</v>
      </c>
      <c r="I2209" s="1" t="s">
        <v>1717</v>
      </c>
      <c r="L2209" s="1" t="s">
        <v>44</v>
      </c>
      <c r="M2209" s="1" t="s">
        <v>1255</v>
      </c>
      <c r="AG2209" s="1" t="s">
        <v>4575</v>
      </c>
      <c r="AH2209" s="2">
        <v>45048</v>
      </c>
      <c r="AI2209" s="2">
        <v>45291</v>
      </c>
      <c r="AJ2209" s="2">
        <v>45048</v>
      </c>
    </row>
    <row r="2210" spans="1:36">
      <c r="A2210" s="1" t="str">
        <f>"Z723B76984"</f>
        <v>Z723B76984</v>
      </c>
      <c r="B2210" s="1" t="str">
        <f t="shared" si="53"/>
        <v>02406911202</v>
      </c>
      <c r="C2210" s="1" t="s">
        <v>13</v>
      </c>
      <c r="D2210" s="1" t="s">
        <v>1741</v>
      </c>
      <c r="E2210" s="1" t="s">
        <v>4576</v>
      </c>
      <c r="F2210" s="1" t="s">
        <v>49</v>
      </c>
      <c r="G2210" s="1" t="str">
        <f>"02376321200"</f>
        <v>02376321200</v>
      </c>
      <c r="I2210" s="1" t="s">
        <v>1884</v>
      </c>
      <c r="L2210" s="1" t="s">
        <v>44</v>
      </c>
      <c r="M2210" s="1" t="s">
        <v>4577</v>
      </c>
      <c r="AG2210" s="1" t="s">
        <v>4577</v>
      </c>
      <c r="AH2210" s="2">
        <v>45084</v>
      </c>
      <c r="AI2210" s="2">
        <v>45291</v>
      </c>
      <c r="AJ2210" s="2">
        <v>45084</v>
      </c>
    </row>
    <row r="2211" spans="1:36">
      <c r="A2211" s="1" t="str">
        <f>"9856842B54"</f>
        <v>9856842B54</v>
      </c>
      <c r="B2211" s="1" t="str">
        <f t="shared" si="53"/>
        <v>02406911202</v>
      </c>
      <c r="C2211" s="1" t="s">
        <v>13</v>
      </c>
      <c r="D2211" s="1" t="s">
        <v>37</v>
      </c>
      <c r="E2211" s="1" t="s">
        <v>4147</v>
      </c>
      <c r="F2211" s="1" t="s">
        <v>117</v>
      </c>
      <c r="G2211" s="1" t="str">
        <f>"12971700153"</f>
        <v>12971700153</v>
      </c>
      <c r="I2211" s="1" t="s">
        <v>3690</v>
      </c>
      <c r="L2211" s="1" t="s">
        <v>44</v>
      </c>
      <c r="M2211" s="1" t="s">
        <v>714</v>
      </c>
      <c r="AG2211" s="1" t="s">
        <v>124</v>
      </c>
      <c r="AH2211" s="2">
        <v>45078</v>
      </c>
      <c r="AI2211" s="2">
        <v>45366</v>
      </c>
      <c r="AJ2211" s="2">
        <v>45078</v>
      </c>
    </row>
    <row r="2212" spans="1:36">
      <c r="A2212" s="1" t="str">
        <f>"ZD73B6160B"</f>
        <v>ZD73B6160B</v>
      </c>
      <c r="B2212" s="1" t="str">
        <f t="shared" si="53"/>
        <v>02406911202</v>
      </c>
      <c r="C2212" s="1" t="s">
        <v>13</v>
      </c>
      <c r="D2212" s="1" t="s">
        <v>37</v>
      </c>
      <c r="E2212" s="1" t="s">
        <v>4578</v>
      </c>
      <c r="F2212" s="1" t="s">
        <v>117</v>
      </c>
      <c r="G2212" s="1" t="str">
        <f>"06209390969"</f>
        <v>06209390969</v>
      </c>
      <c r="I2212" s="1" t="s">
        <v>725</v>
      </c>
      <c r="L2212" s="1" t="s">
        <v>44</v>
      </c>
      <c r="M2212" s="1" t="s">
        <v>727</v>
      </c>
      <c r="AG2212" s="1" t="s">
        <v>4579</v>
      </c>
      <c r="AH2212" s="2">
        <v>45078</v>
      </c>
      <c r="AI2212" s="2">
        <v>45366</v>
      </c>
      <c r="AJ2212" s="2">
        <v>45078</v>
      </c>
    </row>
    <row r="2213" spans="1:36">
      <c r="A2213" s="1" t="str">
        <f>"985685346A"</f>
        <v>985685346A</v>
      </c>
      <c r="B2213" s="1" t="str">
        <f t="shared" si="53"/>
        <v>02406911202</v>
      </c>
      <c r="C2213" s="1" t="s">
        <v>13</v>
      </c>
      <c r="D2213" s="1" t="s">
        <v>37</v>
      </c>
      <c r="E2213" s="1" t="s">
        <v>4578</v>
      </c>
      <c r="F2213" s="1" t="s">
        <v>117</v>
      </c>
      <c r="G2213" s="1" t="str">
        <f>"11129270150"</f>
        <v>11129270150</v>
      </c>
      <c r="I2213" s="1" t="s">
        <v>4580</v>
      </c>
      <c r="L2213" s="1" t="s">
        <v>44</v>
      </c>
      <c r="M2213" s="1" t="s">
        <v>733</v>
      </c>
      <c r="AG2213" s="1" t="s">
        <v>4581</v>
      </c>
      <c r="AH2213" s="2">
        <v>45078</v>
      </c>
      <c r="AI2213" s="2">
        <v>45366</v>
      </c>
      <c r="AJ2213" s="2">
        <v>45078</v>
      </c>
    </row>
    <row r="2214" spans="1:36">
      <c r="A2214" s="1" t="str">
        <f>"Z8F3B6163F"</f>
        <v>Z8F3B6163F</v>
      </c>
      <c r="B2214" s="1" t="str">
        <f t="shared" si="53"/>
        <v>02406911202</v>
      </c>
      <c r="C2214" s="1" t="s">
        <v>13</v>
      </c>
      <c r="D2214" s="1" t="s">
        <v>37</v>
      </c>
      <c r="E2214" s="1" t="s">
        <v>4578</v>
      </c>
      <c r="F2214" s="1" t="s">
        <v>117</v>
      </c>
      <c r="G2214" s="1" t="str">
        <f>"00953780962"</f>
        <v>00953780962</v>
      </c>
      <c r="I2214" s="1" t="s">
        <v>3252</v>
      </c>
      <c r="L2214" s="1" t="s">
        <v>44</v>
      </c>
      <c r="M2214" s="1" t="s">
        <v>739</v>
      </c>
      <c r="AG2214" s="1" t="s">
        <v>124</v>
      </c>
      <c r="AH2214" s="2">
        <v>45078</v>
      </c>
      <c r="AI2214" s="2">
        <v>45366</v>
      </c>
      <c r="AJ2214" s="2">
        <v>45078</v>
      </c>
    </row>
    <row r="2215" spans="1:36">
      <c r="A2215" s="1" t="str">
        <f>"Z5E3AA2E7D"</f>
        <v>Z5E3AA2E7D</v>
      </c>
      <c r="B2215" s="1" t="str">
        <f t="shared" si="53"/>
        <v>02406911202</v>
      </c>
      <c r="C2215" s="1" t="s">
        <v>13</v>
      </c>
      <c r="D2215" s="1" t="s">
        <v>1253</v>
      </c>
      <c r="E2215" s="1" t="s">
        <v>1387</v>
      </c>
      <c r="F2215" s="1" t="s">
        <v>49</v>
      </c>
      <c r="G2215" s="1" t="str">
        <f>"00674840152"</f>
        <v>00674840152</v>
      </c>
      <c r="I2215" s="1" t="s">
        <v>190</v>
      </c>
      <c r="L2215" s="1" t="s">
        <v>44</v>
      </c>
      <c r="M2215" s="1" t="s">
        <v>1255</v>
      </c>
      <c r="AG2215" s="1" t="s">
        <v>4582</v>
      </c>
      <c r="AH2215" s="2">
        <v>45019</v>
      </c>
      <c r="AI2215" s="2">
        <v>45291</v>
      </c>
      <c r="AJ2215" s="2">
        <v>45019</v>
      </c>
    </row>
    <row r="2216" spans="1:36">
      <c r="A2216" s="1" t="str">
        <f t="shared" ref="A2216:A2222" si="54">"ZDD3B3DEFD"</f>
        <v>ZDD3B3DEFD</v>
      </c>
      <c r="B2216" s="1" t="str">
        <f t="shared" si="53"/>
        <v>02406911202</v>
      </c>
      <c r="C2216" s="1" t="s">
        <v>13</v>
      </c>
      <c r="D2216" s="1" t="s">
        <v>1741</v>
      </c>
      <c r="E2216" s="1" t="s">
        <v>4583</v>
      </c>
      <c r="F2216" s="1" t="s">
        <v>39</v>
      </c>
      <c r="G2216" s="1" t="str">
        <f>"02138390360"</f>
        <v>02138390360</v>
      </c>
      <c r="I2216" s="1" t="s">
        <v>1879</v>
      </c>
      <c r="L2216" s="1" t="s">
        <v>44</v>
      </c>
      <c r="M2216" s="1" t="s">
        <v>4584</v>
      </c>
      <c r="AG2216" s="1" t="s">
        <v>4584</v>
      </c>
      <c r="AH2216" s="2">
        <v>45065</v>
      </c>
      <c r="AI2216" s="2">
        <v>45291</v>
      </c>
      <c r="AJ2216" s="2">
        <v>45065</v>
      </c>
    </row>
    <row r="2217" spans="1:36">
      <c r="A2217" s="1" t="str">
        <f t="shared" si="54"/>
        <v>ZDD3B3DEFD</v>
      </c>
      <c r="B2217" s="1" t="str">
        <f t="shared" si="53"/>
        <v>02406911202</v>
      </c>
      <c r="C2217" s="1" t="s">
        <v>13</v>
      </c>
      <c r="D2217" s="1" t="s">
        <v>1741</v>
      </c>
      <c r="E2217" s="1" t="s">
        <v>4583</v>
      </c>
      <c r="F2217" s="1" t="s">
        <v>39</v>
      </c>
      <c r="G2217" s="1" t="str">
        <f>"03359340837"</f>
        <v>03359340837</v>
      </c>
      <c r="I2217" s="1" t="s">
        <v>1881</v>
      </c>
      <c r="L2217" s="1" t="s">
        <v>41</v>
      </c>
      <c r="AJ2217" s="2">
        <v>45065</v>
      </c>
    </row>
    <row r="2218" spans="1:36">
      <c r="A2218" s="1" t="str">
        <f t="shared" si="54"/>
        <v>ZDD3B3DEFD</v>
      </c>
      <c r="B2218" s="1" t="str">
        <f t="shared" si="53"/>
        <v>02406911202</v>
      </c>
      <c r="C2218" s="1" t="s">
        <v>13</v>
      </c>
      <c r="D2218" s="1" t="s">
        <v>1741</v>
      </c>
      <c r="E2218" s="1" t="s">
        <v>4583</v>
      </c>
      <c r="F2218" s="1" t="s">
        <v>39</v>
      </c>
      <c r="G2218" s="1" t="str">
        <f>"01486330309"</f>
        <v>01486330309</v>
      </c>
      <c r="I2218" s="1" t="s">
        <v>2134</v>
      </c>
      <c r="L2218" s="1" t="s">
        <v>41</v>
      </c>
      <c r="AJ2218" s="2">
        <v>45065</v>
      </c>
    </row>
    <row r="2219" spans="1:36">
      <c r="A2219" s="1" t="str">
        <f t="shared" si="54"/>
        <v>ZDD3B3DEFD</v>
      </c>
      <c r="B2219" s="1" t="str">
        <f t="shared" si="53"/>
        <v>02406911202</v>
      </c>
      <c r="C2219" s="1" t="s">
        <v>13</v>
      </c>
      <c r="D2219" s="1" t="s">
        <v>1741</v>
      </c>
      <c r="E2219" s="1" t="s">
        <v>4583</v>
      </c>
      <c r="F2219" s="1" t="s">
        <v>39</v>
      </c>
      <c r="G2219" s="1" t="str">
        <f>"02491851206"</f>
        <v>02491851206</v>
      </c>
      <c r="I2219" s="1" t="s">
        <v>2136</v>
      </c>
      <c r="L2219" s="1" t="s">
        <v>41</v>
      </c>
      <c r="AJ2219" s="2">
        <v>45065</v>
      </c>
    </row>
    <row r="2220" spans="1:36">
      <c r="A2220" s="1" t="str">
        <f t="shared" si="54"/>
        <v>ZDD3B3DEFD</v>
      </c>
      <c r="B2220" s="1" t="str">
        <f t="shared" si="53"/>
        <v>02406911202</v>
      </c>
      <c r="C2220" s="1" t="s">
        <v>13</v>
      </c>
      <c r="D2220" s="1" t="s">
        <v>1741</v>
      </c>
      <c r="E2220" s="1" t="s">
        <v>4583</v>
      </c>
      <c r="F2220" s="1" t="s">
        <v>39</v>
      </c>
      <c r="G2220" s="1" t="str">
        <f>"09234221001"</f>
        <v>09234221001</v>
      </c>
      <c r="I2220" s="1" t="s">
        <v>4302</v>
      </c>
      <c r="L2220" s="1" t="s">
        <v>41</v>
      </c>
      <c r="AJ2220" s="2">
        <v>45065</v>
      </c>
    </row>
    <row r="2221" spans="1:36">
      <c r="A2221" s="1" t="str">
        <f t="shared" si="54"/>
        <v>ZDD3B3DEFD</v>
      </c>
      <c r="B2221" s="1" t="str">
        <f t="shared" si="53"/>
        <v>02406911202</v>
      </c>
      <c r="C2221" s="1" t="s">
        <v>13</v>
      </c>
      <c r="D2221" s="1" t="s">
        <v>1741</v>
      </c>
      <c r="E2221" s="1" t="s">
        <v>4583</v>
      </c>
      <c r="F2221" s="1" t="s">
        <v>39</v>
      </c>
      <c r="G2221" s="1" t="str">
        <f>"01813500541"</f>
        <v>01813500541</v>
      </c>
      <c r="I2221" s="1" t="s">
        <v>2137</v>
      </c>
      <c r="L2221" s="1" t="s">
        <v>41</v>
      </c>
      <c r="AJ2221" s="2">
        <v>45065</v>
      </c>
    </row>
    <row r="2222" spans="1:36">
      <c r="A2222" s="1" t="str">
        <f t="shared" si="54"/>
        <v>ZDD3B3DEFD</v>
      </c>
      <c r="B2222" s="1" t="str">
        <f t="shared" si="53"/>
        <v>02406911202</v>
      </c>
      <c r="C2222" s="1" t="s">
        <v>13</v>
      </c>
      <c r="D2222" s="1" t="s">
        <v>1741</v>
      </c>
      <c r="E2222" s="1" t="s">
        <v>4583</v>
      </c>
      <c r="F2222" s="1" t="s">
        <v>39</v>
      </c>
      <c r="G2222" s="1" t="str">
        <f>"00740430335"</f>
        <v>00740430335</v>
      </c>
      <c r="I2222" s="1" t="s">
        <v>1888</v>
      </c>
      <c r="L2222" s="1" t="s">
        <v>41</v>
      </c>
      <c r="AJ2222" s="2">
        <v>45065</v>
      </c>
    </row>
    <row r="2223" spans="1:36">
      <c r="A2223" s="1" t="str">
        <f>"Z283BB94E9"</f>
        <v>Z283BB94E9</v>
      </c>
      <c r="B2223" s="1" t="str">
        <f t="shared" si="53"/>
        <v>02406911202</v>
      </c>
      <c r="C2223" s="1" t="s">
        <v>13</v>
      </c>
      <c r="D2223" s="1" t="s">
        <v>1253</v>
      </c>
      <c r="E2223" s="1" t="s">
        <v>1262</v>
      </c>
      <c r="F2223" s="1" t="s">
        <v>49</v>
      </c>
      <c r="G2223" s="1" t="str">
        <f>"11116290153"</f>
        <v>11116290153</v>
      </c>
      <c r="I2223" s="1" t="s">
        <v>2204</v>
      </c>
      <c r="L2223" s="1" t="s">
        <v>44</v>
      </c>
      <c r="M2223" s="1" t="s">
        <v>1255</v>
      </c>
      <c r="AG2223" s="1" t="s">
        <v>4585</v>
      </c>
      <c r="AH2223" s="2">
        <v>45105</v>
      </c>
      <c r="AI2223" s="2">
        <v>45291</v>
      </c>
      <c r="AJ2223" s="2">
        <v>45105</v>
      </c>
    </row>
    <row r="2224" spans="1:36">
      <c r="A2224" s="1" t="str">
        <f>"Z7F3BA99D4"</f>
        <v>Z7F3BA99D4</v>
      </c>
      <c r="B2224" s="1" t="str">
        <f t="shared" si="53"/>
        <v>02406911202</v>
      </c>
      <c r="C2224" s="1" t="s">
        <v>13</v>
      </c>
      <c r="D2224" s="1" t="s">
        <v>37</v>
      </c>
      <c r="E2224" s="1" t="s">
        <v>4586</v>
      </c>
      <c r="F2224" s="1" t="s">
        <v>117</v>
      </c>
      <c r="G2224" s="1" t="str">
        <f>"09750710965"</f>
        <v>09750710965</v>
      </c>
      <c r="I2224" s="1" t="s">
        <v>4587</v>
      </c>
      <c r="L2224" s="1" t="s">
        <v>44</v>
      </c>
      <c r="M2224" s="1" t="s">
        <v>4588</v>
      </c>
      <c r="AG2224" s="1" t="s">
        <v>124</v>
      </c>
      <c r="AH2224" s="2">
        <v>45105</v>
      </c>
      <c r="AI2224" s="2">
        <v>46022</v>
      </c>
      <c r="AJ2224" s="2">
        <v>45105</v>
      </c>
    </row>
    <row r="2225" spans="1:36">
      <c r="A2225" s="1" t="str">
        <f>"Z3E3BA99F5"</f>
        <v>Z3E3BA99F5</v>
      </c>
      <c r="B2225" s="1" t="str">
        <f t="shared" si="53"/>
        <v>02406911202</v>
      </c>
      <c r="C2225" s="1" t="s">
        <v>13</v>
      </c>
      <c r="D2225" s="1" t="s">
        <v>37</v>
      </c>
      <c r="E2225" s="1" t="s">
        <v>4589</v>
      </c>
      <c r="F2225" s="1" t="s">
        <v>117</v>
      </c>
      <c r="G2225" s="1" t="str">
        <f>"02307520243"</f>
        <v>02307520243</v>
      </c>
      <c r="I2225" s="1" t="s">
        <v>1527</v>
      </c>
      <c r="L2225" s="1" t="s">
        <v>44</v>
      </c>
      <c r="M2225" s="1" t="s">
        <v>4590</v>
      </c>
      <c r="AG2225" s="1" t="s">
        <v>124</v>
      </c>
      <c r="AH2225" s="2">
        <v>45105</v>
      </c>
      <c r="AI2225" s="2">
        <v>46022</v>
      </c>
      <c r="AJ2225" s="2">
        <v>45105</v>
      </c>
    </row>
    <row r="2226" spans="1:36">
      <c r="A2226" s="1" t="str">
        <f>"9738473A24"</f>
        <v>9738473A24</v>
      </c>
      <c r="B2226" s="1" t="str">
        <f t="shared" si="53"/>
        <v>02406911202</v>
      </c>
      <c r="C2226" s="1" t="s">
        <v>13</v>
      </c>
      <c r="D2226" s="1" t="s">
        <v>37</v>
      </c>
      <c r="E2226" s="1" t="s">
        <v>4591</v>
      </c>
      <c r="F2226" s="1" t="s">
        <v>117</v>
      </c>
      <c r="G2226" s="1" t="str">
        <f>"03296950151"</f>
        <v>03296950151</v>
      </c>
      <c r="I2226" s="1" t="s">
        <v>3189</v>
      </c>
      <c r="L2226" s="1" t="s">
        <v>44</v>
      </c>
      <c r="M2226" s="1" t="s">
        <v>4592</v>
      </c>
      <c r="AG2226" s="1" t="s">
        <v>4593</v>
      </c>
      <c r="AH2226" s="2">
        <v>45014</v>
      </c>
      <c r="AI2226" s="2">
        <v>45626</v>
      </c>
      <c r="AJ2226" s="2">
        <v>45014</v>
      </c>
    </row>
    <row r="2227" spans="1:36">
      <c r="A2227" s="1" t="str">
        <f>"ZF33A9B8CB"</f>
        <v>ZF33A9B8CB</v>
      </c>
      <c r="B2227" s="1" t="str">
        <f t="shared" si="53"/>
        <v>02406911202</v>
      </c>
      <c r="C2227" s="1" t="s">
        <v>13</v>
      </c>
      <c r="D2227" s="1" t="s">
        <v>1312</v>
      </c>
      <c r="E2227" s="1" t="s">
        <v>4594</v>
      </c>
      <c r="F2227" s="1" t="s">
        <v>49</v>
      </c>
      <c r="G2227" s="1" t="str">
        <f>"01630000287"</f>
        <v>01630000287</v>
      </c>
      <c r="I2227" s="1" t="s">
        <v>1470</v>
      </c>
      <c r="L2227" s="1" t="s">
        <v>44</v>
      </c>
      <c r="M2227" s="1" t="s">
        <v>3830</v>
      </c>
      <c r="AG2227" s="1" t="s">
        <v>4595</v>
      </c>
      <c r="AH2227" s="2">
        <v>45015</v>
      </c>
      <c r="AI2227" s="2">
        <v>45382</v>
      </c>
      <c r="AJ2227" s="2">
        <v>45015</v>
      </c>
    </row>
    <row r="2228" spans="1:36">
      <c r="A2228" s="1" t="str">
        <f>"ZA33AA17E8"</f>
        <v>ZA33AA17E8</v>
      </c>
      <c r="B2228" s="1" t="str">
        <f t="shared" si="53"/>
        <v>02406911202</v>
      </c>
      <c r="C2228" s="1" t="s">
        <v>13</v>
      </c>
      <c r="D2228" s="1" t="s">
        <v>1741</v>
      </c>
      <c r="E2228" s="1" t="s">
        <v>4596</v>
      </c>
      <c r="F2228" s="1" t="s">
        <v>49</v>
      </c>
      <c r="G2228" s="1" t="str">
        <f>"02313821007"</f>
        <v>02313821007</v>
      </c>
      <c r="I2228" s="1" t="s">
        <v>2805</v>
      </c>
      <c r="L2228" s="1" t="s">
        <v>44</v>
      </c>
      <c r="M2228" s="1" t="s">
        <v>4597</v>
      </c>
      <c r="AG2228" s="1" t="s">
        <v>124</v>
      </c>
      <c r="AH2228" s="2">
        <v>45036</v>
      </c>
      <c r="AI2228" s="2">
        <v>45401</v>
      </c>
      <c r="AJ2228" s="2">
        <v>45036</v>
      </c>
    </row>
    <row r="2229" spans="1:36">
      <c r="A2229" s="1" t="str">
        <f>"9744262362"</f>
        <v>9744262362</v>
      </c>
      <c r="B2229" s="1" t="str">
        <f t="shared" si="53"/>
        <v>02406911202</v>
      </c>
      <c r="C2229" s="1" t="s">
        <v>13</v>
      </c>
      <c r="D2229" s="1" t="s">
        <v>37</v>
      </c>
      <c r="E2229" s="1" t="s">
        <v>4598</v>
      </c>
      <c r="F2229" s="1" t="s">
        <v>39</v>
      </c>
      <c r="G2229" s="1" t="str">
        <f>"01835220482"</f>
        <v>01835220482</v>
      </c>
      <c r="I2229" s="1" t="s">
        <v>412</v>
      </c>
      <c r="L2229" s="1" t="s">
        <v>44</v>
      </c>
      <c r="M2229" s="1" t="s">
        <v>414</v>
      </c>
      <c r="AG2229" s="1" t="s">
        <v>4599</v>
      </c>
      <c r="AH2229" s="2">
        <v>45017</v>
      </c>
      <c r="AI2229" s="2">
        <v>45291</v>
      </c>
      <c r="AJ2229" s="2">
        <v>45017</v>
      </c>
    </row>
    <row r="2230" spans="1:36">
      <c r="A2230" s="1" t="str">
        <f>"9744272BA0"</f>
        <v>9744272BA0</v>
      </c>
      <c r="B2230" s="1" t="str">
        <f t="shared" si="53"/>
        <v>02406911202</v>
      </c>
      <c r="C2230" s="1" t="s">
        <v>13</v>
      </c>
      <c r="D2230" s="1" t="s">
        <v>37</v>
      </c>
      <c r="E2230" s="1" t="s">
        <v>4598</v>
      </c>
      <c r="F2230" s="1" t="s">
        <v>39</v>
      </c>
      <c r="G2230" s="1" t="str">
        <f>"08082461008"</f>
        <v>08082461008</v>
      </c>
      <c r="I2230" s="1" t="s">
        <v>423</v>
      </c>
      <c r="L2230" s="1" t="s">
        <v>44</v>
      </c>
      <c r="M2230" s="1" t="s">
        <v>425</v>
      </c>
      <c r="AG2230" s="1" t="s">
        <v>4600</v>
      </c>
      <c r="AH2230" s="2">
        <v>45017</v>
      </c>
      <c r="AI2230" s="2">
        <v>45291</v>
      </c>
      <c r="AJ2230" s="2">
        <v>45017</v>
      </c>
    </row>
    <row r="2231" spans="1:36">
      <c r="A2231" s="1" t="str">
        <f>"9752249277"</f>
        <v>9752249277</v>
      </c>
      <c r="B2231" s="1" t="str">
        <f t="shared" si="53"/>
        <v>02406911202</v>
      </c>
      <c r="C2231" s="1" t="s">
        <v>13</v>
      </c>
      <c r="D2231" s="1" t="s">
        <v>37</v>
      </c>
      <c r="E2231" s="1" t="s">
        <v>4601</v>
      </c>
      <c r="F2231" s="1" t="s">
        <v>39</v>
      </c>
      <c r="G2231" s="1" t="str">
        <f>"04337640280"</f>
        <v>04337640280</v>
      </c>
      <c r="I2231" s="1" t="s">
        <v>379</v>
      </c>
      <c r="L2231" s="1" t="s">
        <v>44</v>
      </c>
      <c r="M2231" s="1" t="s">
        <v>381</v>
      </c>
      <c r="AG2231" s="1" t="s">
        <v>4602</v>
      </c>
      <c r="AH2231" s="2">
        <v>45023</v>
      </c>
      <c r="AI2231" s="2">
        <v>45388</v>
      </c>
      <c r="AJ2231" s="2">
        <v>45023</v>
      </c>
    </row>
    <row r="2232" spans="1:36">
      <c r="A2232" s="1" t="str">
        <f>"Z313AA479E"</f>
        <v>Z313AA479E</v>
      </c>
      <c r="B2232" s="1" t="str">
        <f t="shared" si="53"/>
        <v>02406911202</v>
      </c>
      <c r="C2232" s="1" t="s">
        <v>13</v>
      </c>
      <c r="D2232" s="1" t="s">
        <v>1257</v>
      </c>
      <c r="E2232" s="1" t="s">
        <v>4603</v>
      </c>
      <c r="F2232" s="1" t="s">
        <v>49</v>
      </c>
      <c r="G2232" s="1" t="str">
        <f>"06734220962"</f>
        <v>06734220962</v>
      </c>
      <c r="I2232" s="1" t="s">
        <v>2320</v>
      </c>
      <c r="L2232" s="1" t="s">
        <v>44</v>
      </c>
      <c r="M2232" s="1" t="s">
        <v>4604</v>
      </c>
      <c r="AG2232" s="1" t="s">
        <v>4605</v>
      </c>
      <c r="AH2232" s="2">
        <v>45017</v>
      </c>
      <c r="AI2232" s="2">
        <v>45107</v>
      </c>
      <c r="AJ2232" s="2">
        <v>45017</v>
      </c>
    </row>
    <row r="2233" spans="1:36">
      <c r="A2233" s="1" t="str">
        <f>"Z793AE6957"</f>
        <v>Z793AE6957</v>
      </c>
      <c r="B2233" s="1" t="str">
        <f t="shared" si="53"/>
        <v>02406911202</v>
      </c>
      <c r="C2233" s="1" t="s">
        <v>13</v>
      </c>
      <c r="D2233" s="1" t="s">
        <v>1253</v>
      </c>
      <c r="E2233" s="1" t="s">
        <v>4606</v>
      </c>
      <c r="F2233" s="1" t="s">
        <v>49</v>
      </c>
      <c r="G2233" s="1" t="str">
        <f>"01990200170"</f>
        <v>01990200170</v>
      </c>
      <c r="I2233" s="1" t="s">
        <v>203</v>
      </c>
      <c r="L2233" s="1" t="s">
        <v>44</v>
      </c>
      <c r="M2233" s="1" t="s">
        <v>1255</v>
      </c>
      <c r="AG2233" s="1" t="s">
        <v>4607</v>
      </c>
      <c r="AH2233" s="2">
        <v>45040</v>
      </c>
      <c r="AI2233" s="2">
        <v>45291</v>
      </c>
      <c r="AJ2233" s="2">
        <v>45040</v>
      </c>
    </row>
    <row r="2234" spans="1:36">
      <c r="A2234" s="1" t="str">
        <f>"Z8C3AEE519"</f>
        <v>Z8C3AEE519</v>
      </c>
      <c r="B2234" s="1" t="str">
        <f t="shared" si="53"/>
        <v>02406911202</v>
      </c>
      <c r="C2234" s="1" t="s">
        <v>13</v>
      </c>
      <c r="D2234" s="1" t="s">
        <v>1257</v>
      </c>
      <c r="E2234" s="1" t="s">
        <v>4608</v>
      </c>
      <c r="F2234" s="1" t="s">
        <v>49</v>
      </c>
      <c r="G2234" s="1" t="str">
        <f>"02294901208"</f>
        <v>02294901208</v>
      </c>
      <c r="I2234" s="1" t="s">
        <v>4609</v>
      </c>
      <c r="L2234" s="1" t="s">
        <v>44</v>
      </c>
      <c r="M2234" s="1" t="s">
        <v>103</v>
      </c>
      <c r="AG2234" s="1" t="s">
        <v>4610</v>
      </c>
      <c r="AH2234" s="2">
        <v>45017</v>
      </c>
      <c r="AI2234" s="2">
        <v>45291</v>
      </c>
      <c r="AJ2234" s="2">
        <v>45017</v>
      </c>
    </row>
    <row r="2235" spans="1:36">
      <c r="A2235" s="1" t="str">
        <f>"ZE83AFA87F"</f>
        <v>ZE83AFA87F</v>
      </c>
      <c r="B2235" s="1" t="str">
        <f t="shared" si="53"/>
        <v>02406911202</v>
      </c>
      <c r="C2235" s="1" t="s">
        <v>13</v>
      </c>
      <c r="D2235" s="1" t="s">
        <v>1253</v>
      </c>
      <c r="E2235" s="1" t="s">
        <v>1317</v>
      </c>
      <c r="F2235" s="1" t="s">
        <v>49</v>
      </c>
      <c r="G2235" s="1" t="str">
        <f>"04156880371"</f>
        <v>04156880371</v>
      </c>
      <c r="I2235" s="1" t="s">
        <v>1307</v>
      </c>
      <c r="L2235" s="1" t="s">
        <v>44</v>
      </c>
      <c r="M2235" s="1" t="s">
        <v>1255</v>
      </c>
      <c r="AG2235" s="1" t="s">
        <v>4611</v>
      </c>
      <c r="AH2235" s="2">
        <v>45050</v>
      </c>
      <c r="AI2235" s="2">
        <v>45291</v>
      </c>
      <c r="AJ2235" s="2">
        <v>45050</v>
      </c>
    </row>
    <row r="2236" spans="1:36">
      <c r="A2236" s="1" t="str">
        <f>"Z8E3B0E476"</f>
        <v>Z8E3B0E476</v>
      </c>
      <c r="B2236" s="1" t="str">
        <f t="shared" si="53"/>
        <v>02406911202</v>
      </c>
      <c r="C2236" s="1" t="s">
        <v>13</v>
      </c>
      <c r="D2236" s="1" t="s">
        <v>205</v>
      </c>
      <c r="E2236" s="1" t="s">
        <v>4612</v>
      </c>
      <c r="F2236" s="1" t="s">
        <v>49</v>
      </c>
      <c r="G2236" s="1" t="str">
        <f>"00395720378"</f>
        <v>00395720378</v>
      </c>
      <c r="I2236" s="1" t="s">
        <v>6752</v>
      </c>
      <c r="L2236" s="1" t="s">
        <v>44</v>
      </c>
      <c r="M2236" s="1" t="s">
        <v>4613</v>
      </c>
      <c r="AG2236" s="1" t="s">
        <v>4614</v>
      </c>
      <c r="AH2236" s="2">
        <v>44927</v>
      </c>
      <c r="AI2236" s="2">
        <v>45291</v>
      </c>
      <c r="AJ2236" s="2">
        <v>44927</v>
      </c>
    </row>
    <row r="2237" spans="1:36">
      <c r="A2237" s="1" t="str">
        <f>"ZD73BA7F8B"</f>
        <v>ZD73BA7F8B</v>
      </c>
      <c r="B2237" s="1" t="str">
        <f t="shared" si="53"/>
        <v>02406911202</v>
      </c>
      <c r="C2237" s="1" t="s">
        <v>13</v>
      </c>
      <c r="D2237" s="1" t="s">
        <v>1253</v>
      </c>
      <c r="E2237" s="1" t="s">
        <v>1270</v>
      </c>
      <c r="F2237" s="1" t="s">
        <v>49</v>
      </c>
      <c r="H2237" s="1" t="str">
        <f>"825580900B01"</f>
        <v>825580900B01</v>
      </c>
      <c r="I2237" s="1" t="s">
        <v>3890</v>
      </c>
      <c r="L2237" s="1" t="s">
        <v>44</v>
      </c>
      <c r="M2237" s="1" t="s">
        <v>1255</v>
      </c>
      <c r="AG2237" s="1" t="s">
        <v>124</v>
      </c>
      <c r="AH2237" s="2">
        <v>45099</v>
      </c>
      <c r="AI2237" s="2">
        <v>45291</v>
      </c>
      <c r="AJ2237" s="2">
        <v>45099</v>
      </c>
    </row>
    <row r="2238" spans="1:36">
      <c r="A2238" s="1" t="str">
        <f>"Z573BA8152"</f>
        <v>Z573BA8152</v>
      </c>
      <c r="B2238" s="1" t="str">
        <f t="shared" si="53"/>
        <v>02406911202</v>
      </c>
      <c r="C2238" s="1" t="s">
        <v>13</v>
      </c>
      <c r="D2238" s="1" t="s">
        <v>1253</v>
      </c>
      <c r="E2238" s="1" t="s">
        <v>1260</v>
      </c>
      <c r="F2238" s="1" t="s">
        <v>49</v>
      </c>
      <c r="G2238" s="1" t="str">
        <f>"01799221005"</f>
        <v>01799221005</v>
      </c>
      <c r="I2238" s="1" t="s">
        <v>2875</v>
      </c>
      <c r="L2238" s="1" t="s">
        <v>44</v>
      </c>
      <c r="M2238" s="1" t="s">
        <v>1255</v>
      </c>
      <c r="AG2238" s="1" t="s">
        <v>124</v>
      </c>
      <c r="AH2238" s="2">
        <v>45099</v>
      </c>
      <c r="AI2238" s="2">
        <v>45291</v>
      </c>
      <c r="AJ2238" s="2">
        <v>45099</v>
      </c>
    </row>
    <row r="2239" spans="1:36">
      <c r="A2239" s="1" t="str">
        <f>"9918299741"</f>
        <v>9918299741</v>
      </c>
      <c r="B2239" s="1" t="str">
        <f t="shared" si="53"/>
        <v>02406911202</v>
      </c>
      <c r="C2239" s="1" t="s">
        <v>13</v>
      </c>
      <c r="D2239" s="1" t="s">
        <v>1253</v>
      </c>
      <c r="E2239" s="1" t="s">
        <v>1387</v>
      </c>
      <c r="F2239" s="1" t="s">
        <v>49</v>
      </c>
      <c r="G2239" s="1" t="str">
        <f>"02578030153"</f>
        <v>02578030153</v>
      </c>
      <c r="I2239" s="1" t="s">
        <v>4615</v>
      </c>
      <c r="L2239" s="1" t="s">
        <v>44</v>
      </c>
      <c r="M2239" s="1" t="s">
        <v>2739</v>
      </c>
      <c r="AG2239" s="1" t="s">
        <v>4616</v>
      </c>
      <c r="AH2239" s="2">
        <v>45100</v>
      </c>
      <c r="AI2239" s="2">
        <v>45291</v>
      </c>
      <c r="AJ2239" s="2">
        <v>45100</v>
      </c>
    </row>
    <row r="2240" spans="1:36">
      <c r="A2240" s="1" t="str">
        <f>"9832605A53"</f>
        <v>9832605A53</v>
      </c>
      <c r="B2240" s="1" t="str">
        <f t="shared" si="53"/>
        <v>02406911202</v>
      </c>
      <c r="C2240" s="1" t="s">
        <v>13</v>
      </c>
      <c r="D2240" s="1" t="s">
        <v>37</v>
      </c>
      <c r="E2240" s="1" t="s">
        <v>4617</v>
      </c>
      <c r="F2240" s="1" t="s">
        <v>117</v>
      </c>
      <c r="G2240" s="1" t="str">
        <f>"03663500969"</f>
        <v>03663500969</v>
      </c>
      <c r="I2240" s="1" t="s">
        <v>1383</v>
      </c>
      <c r="L2240" s="1" t="s">
        <v>44</v>
      </c>
      <c r="M2240" s="1" t="s">
        <v>746</v>
      </c>
      <c r="AG2240" s="1" t="s">
        <v>124</v>
      </c>
      <c r="AH2240" s="2">
        <v>45105</v>
      </c>
      <c r="AI2240" s="2">
        <v>45291</v>
      </c>
      <c r="AJ2240" s="2">
        <v>45105</v>
      </c>
    </row>
    <row r="2241" spans="1:36">
      <c r="A2241" s="1" t="str">
        <f>"9932632B37"</f>
        <v>9932632B37</v>
      </c>
      <c r="B2241" s="1" t="str">
        <f t="shared" si="53"/>
        <v>02406911202</v>
      </c>
      <c r="C2241" s="1" t="s">
        <v>13</v>
      </c>
      <c r="D2241" s="1" t="s">
        <v>37</v>
      </c>
      <c r="E2241" s="1" t="s">
        <v>4618</v>
      </c>
      <c r="F2241" s="1" t="s">
        <v>117</v>
      </c>
      <c r="G2241" s="1" t="str">
        <f>"10784350158"</f>
        <v>10784350158</v>
      </c>
      <c r="I2241" s="1" t="s">
        <v>4619</v>
      </c>
      <c r="L2241" s="1" t="s">
        <v>44</v>
      </c>
      <c r="M2241" s="1" t="s">
        <v>4620</v>
      </c>
      <c r="AG2241" s="1" t="s">
        <v>124</v>
      </c>
      <c r="AH2241" s="2">
        <v>45105</v>
      </c>
      <c r="AI2241" s="2">
        <v>45291</v>
      </c>
      <c r="AJ2241" s="2">
        <v>45105</v>
      </c>
    </row>
    <row r="2242" spans="1:36">
      <c r="A2242" s="1" t="str">
        <f>"ZA63BA90BB"</f>
        <v>ZA63BA90BB</v>
      </c>
      <c r="B2242" s="1" t="str">
        <f t="shared" si="53"/>
        <v>02406911202</v>
      </c>
      <c r="C2242" s="1" t="s">
        <v>13</v>
      </c>
      <c r="D2242" s="1" t="s">
        <v>1253</v>
      </c>
      <c r="E2242" s="1" t="s">
        <v>4351</v>
      </c>
      <c r="F2242" s="1" t="s">
        <v>49</v>
      </c>
      <c r="G2242" s="1" t="str">
        <f>"03597020373"</f>
        <v>03597020373</v>
      </c>
      <c r="I2242" s="1" t="s">
        <v>920</v>
      </c>
      <c r="L2242" s="1" t="s">
        <v>44</v>
      </c>
      <c r="M2242" s="1" t="s">
        <v>1255</v>
      </c>
      <c r="AG2242" s="1" t="s">
        <v>124</v>
      </c>
      <c r="AH2242" s="2">
        <v>45106</v>
      </c>
      <c r="AI2242" s="2">
        <v>45291</v>
      </c>
      <c r="AJ2242" s="2">
        <v>45106</v>
      </c>
    </row>
    <row r="2243" spans="1:36">
      <c r="A2243" s="1" t="str">
        <f>"Z363BC24E4"</f>
        <v>Z363BC24E4</v>
      </c>
      <c r="B2243" s="1" t="str">
        <f t="shared" si="53"/>
        <v>02406911202</v>
      </c>
      <c r="C2243" s="1" t="s">
        <v>13</v>
      </c>
      <c r="D2243" s="1" t="s">
        <v>1253</v>
      </c>
      <c r="E2243" s="1" t="s">
        <v>1262</v>
      </c>
      <c r="F2243" s="1" t="s">
        <v>49</v>
      </c>
      <c r="G2243" s="1" t="str">
        <f>"00228550273"</f>
        <v>00228550273</v>
      </c>
      <c r="I2243" s="1" t="s">
        <v>1717</v>
      </c>
      <c r="L2243" s="1" t="s">
        <v>44</v>
      </c>
      <c r="M2243" s="1" t="s">
        <v>1255</v>
      </c>
      <c r="AG2243" s="1" t="s">
        <v>4621</v>
      </c>
      <c r="AH2243" s="2">
        <v>45107</v>
      </c>
      <c r="AI2243" s="2">
        <v>45291</v>
      </c>
      <c r="AJ2243" s="2">
        <v>45107</v>
      </c>
    </row>
    <row r="2244" spans="1:36">
      <c r="A2244" s="1" t="str">
        <f>"ZC73A96657"</f>
        <v>ZC73A96657</v>
      </c>
      <c r="B2244" s="1" t="str">
        <f t="shared" si="53"/>
        <v>02406911202</v>
      </c>
      <c r="C2244" s="1" t="s">
        <v>13</v>
      </c>
      <c r="D2244" s="1" t="s">
        <v>1257</v>
      </c>
      <c r="E2244" s="1" t="s">
        <v>4622</v>
      </c>
      <c r="F2244" s="1" t="s">
        <v>49</v>
      </c>
      <c r="G2244" s="1" t="str">
        <f>"08086280156"</f>
        <v>08086280156</v>
      </c>
      <c r="I2244" s="1" t="s">
        <v>3274</v>
      </c>
      <c r="L2244" s="1" t="s">
        <v>44</v>
      </c>
      <c r="M2244" s="1" t="s">
        <v>946</v>
      </c>
      <c r="AG2244" s="1" t="s">
        <v>4623</v>
      </c>
      <c r="AH2244" s="2">
        <v>45014</v>
      </c>
      <c r="AI2244" s="2">
        <v>45291</v>
      </c>
      <c r="AJ2244" s="2">
        <v>45014</v>
      </c>
    </row>
    <row r="2245" spans="1:36">
      <c r="A2245" s="1" t="str">
        <f>"ZE23A93AA2"</f>
        <v>ZE23A93AA2</v>
      </c>
      <c r="B2245" s="1" t="str">
        <f t="shared" si="53"/>
        <v>02406911202</v>
      </c>
      <c r="C2245" s="1" t="s">
        <v>13</v>
      </c>
      <c r="D2245" s="1" t="s">
        <v>1253</v>
      </c>
      <c r="E2245" s="1" t="s">
        <v>1317</v>
      </c>
      <c r="F2245" s="1" t="s">
        <v>49</v>
      </c>
      <c r="G2245" s="1" t="str">
        <f>"11206730159"</f>
        <v>11206730159</v>
      </c>
      <c r="I2245" s="1" t="s">
        <v>192</v>
      </c>
      <c r="L2245" s="1" t="s">
        <v>44</v>
      </c>
      <c r="M2245" s="1" t="s">
        <v>1255</v>
      </c>
      <c r="AG2245" s="1" t="s">
        <v>2166</v>
      </c>
      <c r="AH2245" s="2">
        <v>45014</v>
      </c>
      <c r="AI2245" s="2">
        <v>45291</v>
      </c>
      <c r="AJ2245" s="2">
        <v>45014</v>
      </c>
    </row>
    <row r="2246" spans="1:36">
      <c r="A2246" s="1" t="str">
        <f>"ZDA3A960AD"</f>
        <v>ZDA3A960AD</v>
      </c>
      <c r="B2246" s="1" t="str">
        <f t="shared" ref="B2246:B2309" si="55">"02406911202"</f>
        <v>02406911202</v>
      </c>
      <c r="C2246" s="1" t="s">
        <v>13</v>
      </c>
      <c r="D2246" s="1" t="s">
        <v>1741</v>
      </c>
      <c r="E2246" s="1" t="s">
        <v>4624</v>
      </c>
      <c r="F2246" s="1" t="s">
        <v>49</v>
      </c>
      <c r="G2246" s="1" t="str">
        <f>"02376321200"</f>
        <v>02376321200</v>
      </c>
      <c r="I2246" s="1" t="s">
        <v>1884</v>
      </c>
      <c r="L2246" s="1" t="s">
        <v>44</v>
      </c>
      <c r="M2246" s="1" t="s">
        <v>4625</v>
      </c>
      <c r="AG2246" s="1" t="s">
        <v>4626</v>
      </c>
      <c r="AH2246" s="2">
        <v>45014</v>
      </c>
      <c r="AI2246" s="2">
        <v>45291</v>
      </c>
      <c r="AJ2246" s="2">
        <v>45014</v>
      </c>
    </row>
    <row r="2247" spans="1:36">
      <c r="A2247" s="1" t="str">
        <f>"ZB63A960C7"</f>
        <v>ZB63A960C7</v>
      </c>
      <c r="B2247" s="1" t="str">
        <f t="shared" si="55"/>
        <v>02406911202</v>
      </c>
      <c r="C2247" s="1" t="s">
        <v>13</v>
      </c>
      <c r="D2247" s="1" t="s">
        <v>1741</v>
      </c>
      <c r="E2247" s="1" t="s">
        <v>4627</v>
      </c>
      <c r="F2247" s="1" t="s">
        <v>49</v>
      </c>
      <c r="G2247" s="1" t="str">
        <f>"02376321200"</f>
        <v>02376321200</v>
      </c>
      <c r="I2247" s="1" t="s">
        <v>1884</v>
      </c>
      <c r="L2247" s="1" t="s">
        <v>44</v>
      </c>
      <c r="M2247" s="1" t="s">
        <v>4628</v>
      </c>
      <c r="AG2247" s="1" t="s">
        <v>4628</v>
      </c>
      <c r="AH2247" s="2">
        <v>45014</v>
      </c>
      <c r="AI2247" s="2">
        <v>45291</v>
      </c>
      <c r="AJ2247" s="2">
        <v>45014</v>
      </c>
    </row>
    <row r="2248" spans="1:36">
      <c r="A2248" s="1" t="str">
        <f>"ZD33A98ED5"</f>
        <v>ZD33A98ED5</v>
      </c>
      <c r="B2248" s="1" t="str">
        <f t="shared" si="55"/>
        <v>02406911202</v>
      </c>
      <c r="C2248" s="1" t="s">
        <v>13</v>
      </c>
      <c r="D2248" s="1" t="s">
        <v>1253</v>
      </c>
      <c r="E2248" s="1" t="s">
        <v>1270</v>
      </c>
      <c r="F2248" s="1" t="s">
        <v>49</v>
      </c>
      <c r="G2248" s="1" t="str">
        <f>"13209130155"</f>
        <v>13209130155</v>
      </c>
      <c r="I2248" s="1" t="s">
        <v>2474</v>
      </c>
      <c r="L2248" s="1" t="s">
        <v>44</v>
      </c>
      <c r="M2248" s="1" t="s">
        <v>153</v>
      </c>
      <c r="AG2248" s="1" t="s">
        <v>4629</v>
      </c>
      <c r="AH2248" s="2">
        <v>45015</v>
      </c>
      <c r="AI2248" s="2">
        <v>45291</v>
      </c>
      <c r="AJ2248" s="2">
        <v>45015</v>
      </c>
    </row>
    <row r="2249" spans="1:36">
      <c r="A2249" s="1" t="str">
        <f>"ZCE3AFA85A"</f>
        <v>ZCE3AFA85A</v>
      </c>
      <c r="B2249" s="1" t="str">
        <f t="shared" si="55"/>
        <v>02406911202</v>
      </c>
      <c r="C2249" s="1" t="s">
        <v>13</v>
      </c>
      <c r="D2249" s="1" t="s">
        <v>1253</v>
      </c>
      <c r="E2249" s="1" t="s">
        <v>1317</v>
      </c>
      <c r="F2249" s="1" t="s">
        <v>49</v>
      </c>
      <c r="G2249" s="1" t="str">
        <f>"02152610784"</f>
        <v>02152610784</v>
      </c>
      <c r="I2249" s="1" t="s">
        <v>122</v>
      </c>
      <c r="L2249" s="1" t="s">
        <v>44</v>
      </c>
      <c r="M2249" s="1" t="s">
        <v>1255</v>
      </c>
      <c r="AG2249" s="1" t="s">
        <v>4630</v>
      </c>
      <c r="AH2249" s="2">
        <v>45048</v>
      </c>
      <c r="AI2249" s="2">
        <v>45291</v>
      </c>
      <c r="AJ2249" s="2">
        <v>45048</v>
      </c>
    </row>
    <row r="2250" spans="1:36">
      <c r="A2250" s="1" t="str">
        <f>"Z293B011E4"</f>
        <v>Z293B011E4</v>
      </c>
      <c r="B2250" s="1" t="str">
        <f t="shared" si="55"/>
        <v>02406911202</v>
      </c>
      <c r="C2250" s="1" t="s">
        <v>13</v>
      </c>
      <c r="D2250" s="1" t="s">
        <v>205</v>
      </c>
      <c r="E2250" s="1" t="s">
        <v>4631</v>
      </c>
      <c r="F2250" s="1" t="s">
        <v>49</v>
      </c>
      <c r="G2250" s="1" t="str">
        <f>"03159351208"</f>
        <v>03159351208</v>
      </c>
      <c r="I2250" s="1" t="s">
        <v>4632</v>
      </c>
      <c r="L2250" s="1" t="s">
        <v>44</v>
      </c>
      <c r="M2250" s="1" t="s">
        <v>4633</v>
      </c>
      <c r="AG2250" s="1" t="s">
        <v>4634</v>
      </c>
      <c r="AH2250" s="2">
        <v>44927</v>
      </c>
      <c r="AI2250" s="2">
        <v>45291</v>
      </c>
      <c r="AJ2250" s="2">
        <v>44927</v>
      </c>
    </row>
    <row r="2251" spans="1:36">
      <c r="A2251" s="1" t="str">
        <f>"Z623B0128C"</f>
        <v>Z623B0128C</v>
      </c>
      <c r="B2251" s="1" t="str">
        <f t="shared" si="55"/>
        <v>02406911202</v>
      </c>
      <c r="C2251" s="1" t="s">
        <v>13</v>
      </c>
      <c r="D2251" s="1" t="s">
        <v>205</v>
      </c>
      <c r="E2251" s="1" t="s">
        <v>4635</v>
      </c>
      <c r="F2251" s="1" t="s">
        <v>49</v>
      </c>
      <c r="G2251" s="1" t="str">
        <f>"02153830399"</f>
        <v>02153830399</v>
      </c>
      <c r="I2251" s="1" t="s">
        <v>4636</v>
      </c>
      <c r="L2251" s="1" t="s">
        <v>44</v>
      </c>
      <c r="M2251" s="1" t="s">
        <v>4637</v>
      </c>
      <c r="AG2251" s="1" t="s">
        <v>4638</v>
      </c>
      <c r="AH2251" s="2">
        <v>44927</v>
      </c>
      <c r="AI2251" s="2">
        <v>45291</v>
      </c>
      <c r="AJ2251" s="2">
        <v>44927</v>
      </c>
    </row>
    <row r="2252" spans="1:36">
      <c r="A2252" s="1" t="str">
        <f>"973364277A"</f>
        <v>973364277A</v>
      </c>
      <c r="B2252" s="1" t="str">
        <f t="shared" si="55"/>
        <v>02406911202</v>
      </c>
      <c r="C2252" s="1" t="s">
        <v>13</v>
      </c>
      <c r="D2252" s="1" t="s">
        <v>37</v>
      </c>
      <c r="E2252" s="1" t="s">
        <v>4639</v>
      </c>
      <c r="F2252" s="1" t="s">
        <v>117</v>
      </c>
      <c r="G2252" s="1" t="str">
        <f>"03002830366"</f>
        <v>03002830366</v>
      </c>
      <c r="I2252" s="1" t="s">
        <v>4640</v>
      </c>
      <c r="L2252" s="1" t="s">
        <v>44</v>
      </c>
      <c r="M2252" s="1" t="s">
        <v>4641</v>
      </c>
      <c r="AG2252" s="1" t="s">
        <v>4642</v>
      </c>
      <c r="AH2252" s="2">
        <v>45017</v>
      </c>
      <c r="AI2252" s="2">
        <v>46022</v>
      </c>
      <c r="AJ2252" s="2">
        <v>45017</v>
      </c>
    </row>
    <row r="2253" spans="1:36">
      <c r="A2253" s="1" t="str">
        <f>"Z7E3B0F2C7"</f>
        <v>Z7E3B0F2C7</v>
      </c>
      <c r="B2253" s="1" t="str">
        <f t="shared" si="55"/>
        <v>02406911202</v>
      </c>
      <c r="C2253" s="1" t="s">
        <v>13</v>
      </c>
      <c r="D2253" s="1" t="s">
        <v>205</v>
      </c>
      <c r="E2253" s="1" t="s">
        <v>4643</v>
      </c>
      <c r="F2253" s="1" t="s">
        <v>49</v>
      </c>
      <c r="G2253" s="1" t="str">
        <f>"01830271209"</f>
        <v>01830271209</v>
      </c>
      <c r="I2253" s="1" t="s">
        <v>4644</v>
      </c>
      <c r="L2253" s="1" t="s">
        <v>44</v>
      </c>
      <c r="M2253" s="1" t="s">
        <v>4645</v>
      </c>
      <c r="AG2253" s="1" t="s">
        <v>4646</v>
      </c>
      <c r="AH2253" s="2">
        <v>44927</v>
      </c>
      <c r="AI2253" s="2">
        <v>45291</v>
      </c>
      <c r="AJ2253" s="2">
        <v>44927</v>
      </c>
    </row>
    <row r="2254" spans="1:36">
      <c r="A2254" s="1" t="str">
        <f>"Z0B3B0F714"</f>
        <v>Z0B3B0F714</v>
      </c>
      <c r="B2254" s="1" t="str">
        <f t="shared" si="55"/>
        <v>02406911202</v>
      </c>
      <c r="C2254" s="1" t="s">
        <v>13</v>
      </c>
      <c r="D2254" s="1" t="s">
        <v>205</v>
      </c>
      <c r="E2254" s="1" t="s">
        <v>4647</v>
      </c>
      <c r="F2254" s="1" t="s">
        <v>49</v>
      </c>
      <c r="G2254" s="1" t="str">
        <f>"02397611209"</f>
        <v>02397611209</v>
      </c>
      <c r="I2254" s="1" t="s">
        <v>4648</v>
      </c>
      <c r="L2254" s="1" t="s">
        <v>44</v>
      </c>
      <c r="M2254" s="1" t="s">
        <v>4649</v>
      </c>
      <c r="AG2254" s="1" t="s">
        <v>4650</v>
      </c>
      <c r="AH2254" s="2">
        <v>44927</v>
      </c>
      <c r="AI2254" s="2">
        <v>45291</v>
      </c>
      <c r="AJ2254" s="2">
        <v>44927</v>
      </c>
    </row>
    <row r="2255" spans="1:36">
      <c r="A2255" s="1" t="str">
        <f>"Z5C3B0F757"</f>
        <v>Z5C3B0F757</v>
      </c>
      <c r="B2255" s="1" t="str">
        <f t="shared" si="55"/>
        <v>02406911202</v>
      </c>
      <c r="C2255" s="1" t="s">
        <v>13</v>
      </c>
      <c r="D2255" s="1" t="s">
        <v>205</v>
      </c>
      <c r="E2255" s="1" t="s">
        <v>4651</v>
      </c>
      <c r="F2255" s="1" t="s">
        <v>49</v>
      </c>
      <c r="G2255" s="1" t="str">
        <f>"02393951203"</f>
        <v>02393951203</v>
      </c>
      <c r="I2255" s="1" t="s">
        <v>4652</v>
      </c>
      <c r="L2255" s="1" t="s">
        <v>44</v>
      </c>
      <c r="M2255" s="1" t="s">
        <v>4653</v>
      </c>
      <c r="AG2255" s="1" t="s">
        <v>4654</v>
      </c>
      <c r="AH2255" s="2">
        <v>44927</v>
      </c>
      <c r="AI2255" s="2">
        <v>45291</v>
      </c>
      <c r="AJ2255" s="2">
        <v>44927</v>
      </c>
    </row>
    <row r="2256" spans="1:36">
      <c r="A2256" s="1" t="str">
        <f>"Z683B0F7A2"</f>
        <v>Z683B0F7A2</v>
      </c>
      <c r="B2256" s="1" t="str">
        <f t="shared" si="55"/>
        <v>02406911202</v>
      </c>
      <c r="C2256" s="1" t="s">
        <v>13</v>
      </c>
      <c r="D2256" s="1" t="s">
        <v>205</v>
      </c>
      <c r="E2256" s="1" t="s">
        <v>4655</v>
      </c>
      <c r="F2256" s="1" t="s">
        <v>49</v>
      </c>
      <c r="G2256" s="1" t="str">
        <f>"02180651206"</f>
        <v>02180651206</v>
      </c>
      <c r="I2256" s="1" t="s">
        <v>4656</v>
      </c>
      <c r="L2256" s="1" t="s">
        <v>44</v>
      </c>
      <c r="M2256" s="1" t="s">
        <v>4657</v>
      </c>
      <c r="AG2256" s="1" t="s">
        <v>4658</v>
      </c>
      <c r="AH2256" s="2">
        <v>44927</v>
      </c>
      <c r="AI2256" s="2">
        <v>45291</v>
      </c>
      <c r="AJ2256" s="2">
        <v>44927</v>
      </c>
    </row>
    <row r="2257" spans="1:36">
      <c r="A2257" s="1" t="str">
        <f>"Z233B11419"</f>
        <v>Z233B11419</v>
      </c>
      <c r="B2257" s="1" t="str">
        <f t="shared" si="55"/>
        <v>02406911202</v>
      </c>
      <c r="C2257" s="1" t="s">
        <v>13</v>
      </c>
      <c r="D2257" s="1" t="s">
        <v>205</v>
      </c>
      <c r="E2257" s="1" t="s">
        <v>4659</v>
      </c>
      <c r="F2257" s="1" t="s">
        <v>49</v>
      </c>
      <c r="G2257" s="1" t="str">
        <f>"04074781206"</f>
        <v>04074781206</v>
      </c>
      <c r="I2257" s="1" t="s">
        <v>4660</v>
      </c>
      <c r="L2257" s="1" t="s">
        <v>44</v>
      </c>
      <c r="M2257" s="1" t="s">
        <v>4661</v>
      </c>
      <c r="AG2257" s="1" t="s">
        <v>4662</v>
      </c>
      <c r="AH2257" s="2">
        <v>44927</v>
      </c>
      <c r="AI2257" s="2">
        <v>45291</v>
      </c>
      <c r="AJ2257" s="2">
        <v>44927</v>
      </c>
    </row>
    <row r="2258" spans="1:36">
      <c r="A2258" s="1" t="str">
        <f>"ZC23B79F6F"</f>
        <v>ZC23B79F6F</v>
      </c>
      <c r="B2258" s="1" t="str">
        <f t="shared" si="55"/>
        <v>02406911202</v>
      </c>
      <c r="C2258" s="1" t="s">
        <v>13</v>
      </c>
      <c r="D2258" s="1" t="s">
        <v>1312</v>
      </c>
      <c r="E2258" s="1" t="s">
        <v>4663</v>
      </c>
      <c r="F2258" s="1" t="s">
        <v>49</v>
      </c>
      <c r="G2258" s="1" t="str">
        <f>"03223860176"</f>
        <v>03223860176</v>
      </c>
      <c r="I2258" s="1" t="s">
        <v>4664</v>
      </c>
      <c r="L2258" s="1" t="s">
        <v>44</v>
      </c>
      <c r="M2258" s="1" t="s">
        <v>4665</v>
      </c>
      <c r="AG2258" s="1" t="s">
        <v>4665</v>
      </c>
      <c r="AH2258" s="2">
        <v>45085</v>
      </c>
      <c r="AI2258" s="2">
        <v>45291</v>
      </c>
      <c r="AJ2258" s="2">
        <v>45085</v>
      </c>
    </row>
    <row r="2259" spans="1:36">
      <c r="A2259" s="1" t="str">
        <f>"Z4D3B6C4A1"</f>
        <v>Z4D3B6C4A1</v>
      </c>
      <c r="B2259" s="1" t="str">
        <f t="shared" si="55"/>
        <v>02406911202</v>
      </c>
      <c r="C2259" s="1" t="s">
        <v>13</v>
      </c>
      <c r="D2259" s="1" t="s">
        <v>1253</v>
      </c>
      <c r="E2259" s="1" t="s">
        <v>1317</v>
      </c>
      <c r="F2259" s="1" t="s">
        <v>49</v>
      </c>
      <c r="G2259" s="1" t="str">
        <f>"02154270595"</f>
        <v>02154270595</v>
      </c>
      <c r="I2259" s="1" t="s">
        <v>928</v>
      </c>
      <c r="L2259" s="1" t="s">
        <v>44</v>
      </c>
      <c r="M2259" s="1" t="s">
        <v>1255</v>
      </c>
      <c r="AG2259" s="1" t="s">
        <v>4666</v>
      </c>
      <c r="AH2259" s="2">
        <v>45085</v>
      </c>
      <c r="AI2259" s="2">
        <v>45291</v>
      </c>
      <c r="AJ2259" s="2">
        <v>45085</v>
      </c>
    </row>
    <row r="2260" spans="1:36">
      <c r="A2260" s="1" t="str">
        <f>"98723866A6"</f>
        <v>98723866A6</v>
      </c>
      <c r="B2260" s="1" t="str">
        <f t="shared" si="55"/>
        <v>02406911202</v>
      </c>
      <c r="C2260" s="1" t="s">
        <v>13</v>
      </c>
      <c r="D2260" s="1" t="s">
        <v>37</v>
      </c>
      <c r="E2260" s="1" t="s">
        <v>4667</v>
      </c>
      <c r="F2260" s="1" t="s">
        <v>39</v>
      </c>
      <c r="G2260" s="1" t="str">
        <f>"02707070963"</f>
        <v>02707070963</v>
      </c>
      <c r="I2260" s="1" t="s">
        <v>1675</v>
      </c>
      <c r="L2260" s="1" t="s">
        <v>44</v>
      </c>
      <c r="M2260" s="1" t="s">
        <v>4668</v>
      </c>
      <c r="AG2260" s="1" t="s">
        <v>124</v>
      </c>
      <c r="AH2260" s="2">
        <v>45085</v>
      </c>
      <c r="AI2260" s="2">
        <v>45260</v>
      </c>
      <c r="AJ2260" s="2">
        <v>45085</v>
      </c>
    </row>
    <row r="2261" spans="1:36">
      <c r="A2261" s="1" t="str">
        <f>"Z363BA68BD"</f>
        <v>Z363BA68BD</v>
      </c>
      <c r="B2261" s="1" t="str">
        <f t="shared" si="55"/>
        <v>02406911202</v>
      </c>
      <c r="C2261" s="1" t="s">
        <v>13</v>
      </c>
      <c r="D2261" s="1" t="s">
        <v>1257</v>
      </c>
      <c r="E2261" s="1" t="s">
        <v>4669</v>
      </c>
      <c r="F2261" s="1" t="s">
        <v>49</v>
      </c>
      <c r="G2261" s="1" t="str">
        <f>"01746511201"</f>
        <v>01746511201</v>
      </c>
      <c r="I2261" s="1" t="s">
        <v>4670</v>
      </c>
      <c r="L2261" s="1" t="s">
        <v>44</v>
      </c>
      <c r="M2261" s="1" t="s">
        <v>946</v>
      </c>
      <c r="AG2261" s="1" t="s">
        <v>124</v>
      </c>
      <c r="AH2261" s="2">
        <v>45099</v>
      </c>
      <c r="AI2261" s="2">
        <v>45291</v>
      </c>
      <c r="AJ2261" s="2">
        <v>45099</v>
      </c>
    </row>
    <row r="2262" spans="1:36">
      <c r="A2262" s="1" t="str">
        <f>"ZAF3BA68FF"</f>
        <v>ZAF3BA68FF</v>
      </c>
      <c r="B2262" s="1" t="str">
        <f t="shared" si="55"/>
        <v>02406911202</v>
      </c>
      <c r="C2262" s="1" t="s">
        <v>13</v>
      </c>
      <c r="D2262" s="1" t="s">
        <v>1257</v>
      </c>
      <c r="E2262" s="1" t="s">
        <v>4671</v>
      </c>
      <c r="F2262" s="1" t="s">
        <v>49</v>
      </c>
      <c r="G2262" s="1" t="str">
        <f>"05432960481"</f>
        <v>05432960481</v>
      </c>
      <c r="I2262" s="1" t="s">
        <v>4672</v>
      </c>
      <c r="L2262" s="1" t="s">
        <v>44</v>
      </c>
      <c r="M2262" s="1" t="s">
        <v>153</v>
      </c>
      <c r="AG2262" s="1" t="s">
        <v>933</v>
      </c>
      <c r="AH2262" s="2">
        <v>45099</v>
      </c>
      <c r="AI2262" s="2">
        <v>45291</v>
      </c>
      <c r="AJ2262" s="2">
        <v>45099</v>
      </c>
    </row>
    <row r="2263" spans="1:36">
      <c r="A2263" s="1" t="str">
        <f>"Z1C3BA6C84"</f>
        <v>Z1C3BA6C84</v>
      </c>
      <c r="B2263" s="1" t="str">
        <f t="shared" si="55"/>
        <v>02406911202</v>
      </c>
      <c r="C2263" s="1" t="s">
        <v>13</v>
      </c>
      <c r="D2263" s="1" t="s">
        <v>1253</v>
      </c>
      <c r="E2263" s="1" t="s">
        <v>1270</v>
      </c>
      <c r="F2263" s="1" t="s">
        <v>49</v>
      </c>
      <c r="G2263" s="1" t="str">
        <f>"12792100153"</f>
        <v>12792100153</v>
      </c>
      <c r="I2263" s="1" t="s">
        <v>803</v>
      </c>
      <c r="L2263" s="1" t="s">
        <v>44</v>
      </c>
      <c r="M2263" s="1" t="s">
        <v>153</v>
      </c>
      <c r="AG2263" s="1" t="s">
        <v>4673</v>
      </c>
      <c r="AH2263" s="2">
        <v>45098</v>
      </c>
      <c r="AI2263" s="2">
        <v>45291</v>
      </c>
      <c r="AJ2263" s="2">
        <v>45098</v>
      </c>
    </row>
    <row r="2264" spans="1:36">
      <c r="A2264" s="1" t="str">
        <f>"Z2D3BA7ED3"</f>
        <v>Z2D3BA7ED3</v>
      </c>
      <c r="B2264" s="1" t="str">
        <f t="shared" si="55"/>
        <v>02406911202</v>
      </c>
      <c r="C2264" s="1" t="s">
        <v>13</v>
      </c>
      <c r="D2264" s="1" t="s">
        <v>1253</v>
      </c>
      <c r="E2264" s="1" t="s">
        <v>1270</v>
      </c>
      <c r="F2264" s="1" t="s">
        <v>49</v>
      </c>
      <c r="H2264" s="1" t="str">
        <f>"825580900B01"</f>
        <v>825580900B01</v>
      </c>
      <c r="I2264" s="1" t="s">
        <v>3890</v>
      </c>
      <c r="L2264" s="1" t="s">
        <v>44</v>
      </c>
      <c r="M2264" s="1" t="s">
        <v>1255</v>
      </c>
      <c r="AG2264" s="1" t="s">
        <v>4674</v>
      </c>
      <c r="AH2264" s="2">
        <v>45099</v>
      </c>
      <c r="AI2264" s="2">
        <v>45291</v>
      </c>
      <c r="AJ2264" s="2">
        <v>45099</v>
      </c>
    </row>
    <row r="2265" spans="1:36">
      <c r="A2265" s="1" t="str">
        <f>"Z303BA7ABB"</f>
        <v>Z303BA7ABB</v>
      </c>
      <c r="B2265" s="1" t="str">
        <f t="shared" si="55"/>
        <v>02406911202</v>
      </c>
      <c r="C2265" s="1" t="s">
        <v>13</v>
      </c>
      <c r="D2265" s="1" t="s">
        <v>1312</v>
      </c>
      <c r="E2265" s="1" t="s">
        <v>4675</v>
      </c>
      <c r="F2265" s="1" t="s">
        <v>49</v>
      </c>
      <c r="G2265" s="1" t="str">
        <f>"01530570025"</f>
        <v>01530570025</v>
      </c>
      <c r="I2265" s="1" t="s">
        <v>4676</v>
      </c>
      <c r="L2265" s="1" t="s">
        <v>44</v>
      </c>
      <c r="M2265" s="1" t="s">
        <v>1314</v>
      </c>
      <c r="AG2265" s="1" t="s">
        <v>124</v>
      </c>
      <c r="AH2265" s="2">
        <v>45099</v>
      </c>
      <c r="AI2265" s="2">
        <v>46022</v>
      </c>
      <c r="AJ2265" s="2">
        <v>45099</v>
      </c>
    </row>
    <row r="2266" spans="1:36">
      <c r="A2266" s="1" t="str">
        <f>"ZD83BA907B"</f>
        <v>ZD83BA907B</v>
      </c>
      <c r="B2266" s="1" t="str">
        <f t="shared" si="55"/>
        <v>02406911202</v>
      </c>
      <c r="C2266" s="1" t="s">
        <v>13</v>
      </c>
      <c r="D2266" s="1" t="s">
        <v>1253</v>
      </c>
      <c r="E2266" s="1" t="s">
        <v>1317</v>
      </c>
      <c r="F2266" s="1" t="s">
        <v>49</v>
      </c>
      <c r="G2266" s="1" t="str">
        <f>"00693931206"</f>
        <v>00693931206</v>
      </c>
      <c r="I2266" s="1" t="s">
        <v>4024</v>
      </c>
      <c r="L2266" s="1" t="s">
        <v>44</v>
      </c>
      <c r="M2266" s="1" t="s">
        <v>1255</v>
      </c>
      <c r="AG2266" s="1" t="s">
        <v>124</v>
      </c>
      <c r="AH2266" s="2">
        <v>45099</v>
      </c>
      <c r="AI2266" s="2">
        <v>45291</v>
      </c>
      <c r="AJ2266" s="2">
        <v>45099</v>
      </c>
    </row>
    <row r="2267" spans="1:36">
      <c r="A2267" s="1" t="str">
        <f>"Z653BB4B26"</f>
        <v>Z653BB4B26</v>
      </c>
      <c r="B2267" s="1" t="str">
        <f t="shared" si="55"/>
        <v>02406911202</v>
      </c>
      <c r="C2267" s="1" t="s">
        <v>13</v>
      </c>
      <c r="D2267" s="1" t="s">
        <v>1253</v>
      </c>
      <c r="E2267" s="1" t="s">
        <v>1254</v>
      </c>
      <c r="F2267" s="1" t="s">
        <v>49</v>
      </c>
      <c r="G2267" s="1" t="str">
        <f>"01835220482"</f>
        <v>01835220482</v>
      </c>
      <c r="I2267" s="1" t="s">
        <v>412</v>
      </c>
      <c r="L2267" s="1" t="s">
        <v>44</v>
      </c>
      <c r="M2267" s="1" t="s">
        <v>1255</v>
      </c>
      <c r="AG2267" s="1" t="s">
        <v>4677</v>
      </c>
      <c r="AH2267" s="2">
        <v>45104</v>
      </c>
      <c r="AI2267" s="2">
        <v>45291</v>
      </c>
      <c r="AJ2267" s="2">
        <v>45104</v>
      </c>
    </row>
    <row r="2268" spans="1:36">
      <c r="A2268" s="1" t="str">
        <f>"9810290B67"</f>
        <v>9810290B67</v>
      </c>
      <c r="B2268" s="1" t="str">
        <f t="shared" si="55"/>
        <v>02406911202</v>
      </c>
      <c r="C2268" s="1" t="s">
        <v>13</v>
      </c>
      <c r="D2268" s="1" t="s">
        <v>37</v>
      </c>
      <c r="E2268" s="1" t="s">
        <v>4678</v>
      </c>
      <c r="F2268" s="1" t="s">
        <v>117</v>
      </c>
      <c r="G2268" s="1" t="str">
        <f>"12268050155"</f>
        <v>12268050155</v>
      </c>
      <c r="I2268" s="1" t="s">
        <v>2596</v>
      </c>
      <c r="L2268" s="1" t="s">
        <v>44</v>
      </c>
      <c r="M2268" s="1" t="s">
        <v>124</v>
      </c>
      <c r="AG2268" s="1" t="s">
        <v>124</v>
      </c>
      <c r="AH2268" s="2">
        <v>45105</v>
      </c>
      <c r="AI2268" s="2">
        <v>45291</v>
      </c>
      <c r="AJ2268" s="2">
        <v>45105</v>
      </c>
    </row>
    <row r="2269" spans="1:36">
      <c r="A2269" s="1" t="str">
        <f>"Z873A9B432"</f>
        <v>Z873A9B432</v>
      </c>
      <c r="B2269" s="1" t="str">
        <f t="shared" si="55"/>
        <v>02406911202</v>
      </c>
      <c r="C2269" s="1" t="s">
        <v>13</v>
      </c>
      <c r="D2269" s="1" t="s">
        <v>37</v>
      </c>
      <c r="E2269" s="1" t="s">
        <v>4679</v>
      </c>
      <c r="F2269" s="1" t="s">
        <v>39</v>
      </c>
      <c r="G2269" s="1" t="str">
        <f>"08862820969"</f>
        <v>08862820969</v>
      </c>
      <c r="I2269" s="1" t="s">
        <v>146</v>
      </c>
      <c r="L2269" s="1" t="s">
        <v>44</v>
      </c>
      <c r="M2269" s="1" t="s">
        <v>4680</v>
      </c>
      <c r="AG2269" s="1" t="s">
        <v>124</v>
      </c>
      <c r="AH2269" s="2">
        <v>45016</v>
      </c>
      <c r="AI2269" s="2">
        <v>45046</v>
      </c>
      <c r="AJ2269" s="2">
        <v>45016</v>
      </c>
    </row>
    <row r="2270" spans="1:36">
      <c r="A2270" s="1" t="str">
        <f>"ZA13A93AC3"</f>
        <v>ZA13A93AC3</v>
      </c>
      <c r="B2270" s="1" t="str">
        <f t="shared" si="55"/>
        <v>02406911202</v>
      </c>
      <c r="C2270" s="1" t="s">
        <v>13</v>
      </c>
      <c r="D2270" s="1" t="s">
        <v>1253</v>
      </c>
      <c r="E2270" s="1" t="s">
        <v>1317</v>
      </c>
      <c r="F2270" s="1" t="s">
        <v>49</v>
      </c>
      <c r="G2270" s="1" t="str">
        <f>"10994940152"</f>
        <v>10994940152</v>
      </c>
      <c r="I2270" s="1" t="s">
        <v>177</v>
      </c>
      <c r="L2270" s="1" t="s">
        <v>44</v>
      </c>
      <c r="M2270" s="1" t="s">
        <v>1255</v>
      </c>
      <c r="AG2270" s="1" t="s">
        <v>4681</v>
      </c>
      <c r="AH2270" s="2">
        <v>45019</v>
      </c>
      <c r="AI2270" s="2">
        <v>45291</v>
      </c>
      <c r="AJ2270" s="2">
        <v>45019</v>
      </c>
    </row>
    <row r="2271" spans="1:36">
      <c r="A2271" s="1" t="str">
        <f>"Z4C3AE010C"</f>
        <v>Z4C3AE010C</v>
      </c>
      <c r="B2271" s="1" t="str">
        <f t="shared" si="55"/>
        <v>02406911202</v>
      </c>
      <c r="C2271" s="1" t="s">
        <v>13</v>
      </c>
      <c r="D2271" s="1" t="s">
        <v>1257</v>
      </c>
      <c r="E2271" s="1" t="s">
        <v>4682</v>
      </c>
      <c r="F2271" s="1" t="s">
        <v>49</v>
      </c>
      <c r="G2271" s="1" t="str">
        <f>"05424020963"</f>
        <v>05424020963</v>
      </c>
      <c r="I2271" s="1" t="s">
        <v>1995</v>
      </c>
      <c r="L2271" s="1" t="s">
        <v>44</v>
      </c>
      <c r="M2271" s="1" t="s">
        <v>153</v>
      </c>
      <c r="AG2271" s="1" t="s">
        <v>4683</v>
      </c>
      <c r="AH2271" s="2">
        <v>45036</v>
      </c>
      <c r="AI2271" s="2">
        <v>45291</v>
      </c>
      <c r="AJ2271" s="2">
        <v>45036</v>
      </c>
    </row>
    <row r="2272" spans="1:36">
      <c r="A2272" s="1" t="str">
        <f>"Z6C3AE5335"</f>
        <v>Z6C3AE5335</v>
      </c>
      <c r="B2272" s="1" t="str">
        <f t="shared" si="55"/>
        <v>02406911202</v>
      </c>
      <c r="C2272" s="1" t="s">
        <v>13</v>
      </c>
      <c r="D2272" s="1" t="s">
        <v>1253</v>
      </c>
      <c r="E2272" s="1" t="s">
        <v>1317</v>
      </c>
      <c r="F2272" s="1" t="s">
        <v>49</v>
      </c>
      <c r="G2272" s="1" t="str">
        <f>"01164270199"</f>
        <v>01164270199</v>
      </c>
      <c r="I2272" s="1" t="s">
        <v>1354</v>
      </c>
      <c r="L2272" s="1" t="s">
        <v>44</v>
      </c>
      <c r="M2272" s="1" t="s">
        <v>1255</v>
      </c>
      <c r="AG2272" s="1" t="s">
        <v>930</v>
      </c>
      <c r="AH2272" s="2">
        <v>45048</v>
      </c>
      <c r="AI2272" s="2">
        <v>45291</v>
      </c>
      <c r="AJ2272" s="2">
        <v>45048</v>
      </c>
    </row>
    <row r="2273" spans="1:36">
      <c r="A2273" s="1" t="str">
        <f>"Z3D3AE5349"</f>
        <v>Z3D3AE5349</v>
      </c>
      <c r="B2273" s="1" t="str">
        <f t="shared" si="55"/>
        <v>02406911202</v>
      </c>
      <c r="C2273" s="1" t="s">
        <v>13</v>
      </c>
      <c r="D2273" s="1" t="s">
        <v>1253</v>
      </c>
      <c r="E2273" s="1" t="s">
        <v>1317</v>
      </c>
      <c r="F2273" s="1" t="s">
        <v>49</v>
      </c>
      <c r="G2273" s="1" t="str">
        <f>"02615000367"</f>
        <v>02615000367</v>
      </c>
      <c r="I2273" s="1" t="s">
        <v>3971</v>
      </c>
      <c r="L2273" s="1" t="s">
        <v>44</v>
      </c>
      <c r="M2273" s="1" t="s">
        <v>1255</v>
      </c>
      <c r="AG2273" s="1" t="s">
        <v>4684</v>
      </c>
      <c r="AH2273" s="2">
        <v>45048</v>
      </c>
      <c r="AI2273" s="2">
        <v>45291</v>
      </c>
      <c r="AJ2273" s="2">
        <v>45048</v>
      </c>
    </row>
    <row r="2274" spans="1:36">
      <c r="A2274" s="1" t="str">
        <f>"ZBB3B014F7"</f>
        <v>ZBB3B014F7</v>
      </c>
      <c r="B2274" s="1" t="str">
        <f t="shared" si="55"/>
        <v>02406911202</v>
      </c>
      <c r="C2274" s="1" t="s">
        <v>13</v>
      </c>
      <c r="D2274" s="1" t="s">
        <v>205</v>
      </c>
      <c r="E2274" s="1" t="s">
        <v>4685</v>
      </c>
      <c r="F2274" s="1" t="s">
        <v>49</v>
      </c>
      <c r="G2274" s="1" t="str">
        <f>"03066421201"</f>
        <v>03066421201</v>
      </c>
      <c r="I2274" s="1" t="s">
        <v>4062</v>
      </c>
      <c r="L2274" s="1" t="s">
        <v>44</v>
      </c>
      <c r="M2274" s="1" t="s">
        <v>933</v>
      </c>
      <c r="AG2274" s="1" t="s">
        <v>4686</v>
      </c>
      <c r="AH2274" s="2">
        <v>44927</v>
      </c>
      <c r="AI2274" s="2">
        <v>45291</v>
      </c>
      <c r="AJ2274" s="2">
        <v>44927</v>
      </c>
    </row>
    <row r="2275" spans="1:36">
      <c r="A2275" s="1" t="str">
        <f>"98000855FA"</f>
        <v>98000855FA</v>
      </c>
      <c r="B2275" s="1" t="str">
        <f t="shared" si="55"/>
        <v>02406911202</v>
      </c>
      <c r="C2275" s="1" t="s">
        <v>13</v>
      </c>
      <c r="D2275" s="1" t="s">
        <v>37</v>
      </c>
      <c r="E2275" s="1" t="s">
        <v>4687</v>
      </c>
      <c r="F2275" s="1" t="s">
        <v>39</v>
      </c>
      <c r="G2275" s="1" t="str">
        <f>"00907371009"</f>
        <v>00907371009</v>
      </c>
      <c r="I2275" s="1" t="s">
        <v>1581</v>
      </c>
      <c r="L2275" s="1" t="s">
        <v>44</v>
      </c>
      <c r="M2275" s="1" t="s">
        <v>4688</v>
      </c>
      <c r="AG2275" s="1" t="s">
        <v>4689</v>
      </c>
      <c r="AH2275" s="2">
        <v>45047</v>
      </c>
      <c r="AI2275" s="2">
        <v>46873</v>
      </c>
      <c r="AJ2275" s="2">
        <v>45047</v>
      </c>
    </row>
    <row r="2276" spans="1:36">
      <c r="A2276" s="1" t="str">
        <f>"980024385C"</f>
        <v>980024385C</v>
      </c>
      <c r="B2276" s="1" t="str">
        <f t="shared" si="55"/>
        <v>02406911202</v>
      </c>
      <c r="C2276" s="1" t="s">
        <v>13</v>
      </c>
      <c r="D2276" s="1" t="s">
        <v>1253</v>
      </c>
      <c r="E2276" s="1" t="s">
        <v>1260</v>
      </c>
      <c r="F2276" s="1" t="s">
        <v>49</v>
      </c>
      <c r="G2276" s="1" t="str">
        <f>"00972790109"</f>
        <v>00972790109</v>
      </c>
      <c r="I2276" s="1" t="s">
        <v>4690</v>
      </c>
      <c r="L2276" s="1" t="s">
        <v>44</v>
      </c>
      <c r="M2276" s="1" t="s">
        <v>2849</v>
      </c>
      <c r="AG2276" s="1" t="s">
        <v>4691</v>
      </c>
      <c r="AH2276" s="2">
        <v>45055</v>
      </c>
      <c r="AI2276" s="2">
        <v>45291</v>
      </c>
      <c r="AJ2276" s="2">
        <v>45055</v>
      </c>
    </row>
    <row r="2277" spans="1:36">
      <c r="A2277" s="1" t="str">
        <f>"ZE03B7B830"</f>
        <v>ZE03B7B830</v>
      </c>
      <c r="B2277" s="1" t="str">
        <f t="shared" si="55"/>
        <v>02406911202</v>
      </c>
      <c r="C2277" s="1" t="s">
        <v>13</v>
      </c>
      <c r="D2277" s="1" t="s">
        <v>1253</v>
      </c>
      <c r="E2277" s="1" t="s">
        <v>4351</v>
      </c>
      <c r="F2277" s="1" t="s">
        <v>49</v>
      </c>
      <c r="G2277" s="1" t="str">
        <f>"02173550282"</f>
        <v>02173550282</v>
      </c>
      <c r="I2277" s="1" t="s">
        <v>634</v>
      </c>
      <c r="L2277" s="1" t="s">
        <v>44</v>
      </c>
      <c r="M2277" s="1" t="s">
        <v>1255</v>
      </c>
      <c r="AG2277" s="1" t="s">
        <v>4692</v>
      </c>
      <c r="AH2277" s="2">
        <v>45089</v>
      </c>
      <c r="AI2277" s="2">
        <v>45291</v>
      </c>
      <c r="AJ2277" s="2">
        <v>45089</v>
      </c>
    </row>
    <row r="2278" spans="1:36">
      <c r="A2278" s="1" t="str">
        <f>"ZAB3B89923"</f>
        <v>ZAB3B89923</v>
      </c>
      <c r="B2278" s="1" t="str">
        <f t="shared" si="55"/>
        <v>02406911202</v>
      </c>
      <c r="C2278" s="1" t="s">
        <v>13</v>
      </c>
      <c r="D2278" s="1" t="s">
        <v>1312</v>
      </c>
      <c r="E2278" s="1" t="s">
        <v>4693</v>
      </c>
      <c r="F2278" s="1" t="s">
        <v>49</v>
      </c>
      <c r="G2278" s="1" t="str">
        <f>"02426070120"</f>
        <v>02426070120</v>
      </c>
      <c r="I2278" s="1" t="s">
        <v>2218</v>
      </c>
      <c r="L2278" s="1" t="s">
        <v>44</v>
      </c>
      <c r="M2278" s="1" t="s">
        <v>1314</v>
      </c>
      <c r="AG2278" s="1" t="s">
        <v>124</v>
      </c>
      <c r="AH2278" s="2">
        <v>45091</v>
      </c>
      <c r="AI2278" s="2">
        <v>46022</v>
      </c>
      <c r="AJ2278" s="2">
        <v>45091</v>
      </c>
    </row>
    <row r="2279" spans="1:36">
      <c r="A2279" s="1" t="str">
        <f>"9897437763"</f>
        <v>9897437763</v>
      </c>
      <c r="B2279" s="1" t="str">
        <f t="shared" si="55"/>
        <v>02406911202</v>
      </c>
      <c r="C2279" s="1" t="s">
        <v>13</v>
      </c>
      <c r="D2279" s="1" t="s">
        <v>37</v>
      </c>
      <c r="E2279" s="1" t="s">
        <v>4694</v>
      </c>
      <c r="F2279" s="1" t="s">
        <v>117</v>
      </c>
      <c r="G2279" s="1" t="str">
        <f>"08082461008"</f>
        <v>08082461008</v>
      </c>
      <c r="I2279" s="1" t="s">
        <v>423</v>
      </c>
      <c r="L2279" s="1" t="s">
        <v>44</v>
      </c>
      <c r="M2279" s="1" t="s">
        <v>4695</v>
      </c>
      <c r="AG2279" s="1" t="s">
        <v>4696</v>
      </c>
      <c r="AH2279" s="2">
        <v>45098</v>
      </c>
      <c r="AI2279" s="2">
        <v>46083</v>
      </c>
      <c r="AJ2279" s="2">
        <v>45098</v>
      </c>
    </row>
    <row r="2280" spans="1:36">
      <c r="A2280" s="1" t="str">
        <f>"9791964850"</f>
        <v>9791964850</v>
      </c>
      <c r="B2280" s="1" t="str">
        <f t="shared" si="55"/>
        <v>02406911202</v>
      </c>
      <c r="C2280" s="1" t="s">
        <v>13</v>
      </c>
      <c r="D2280" s="1" t="s">
        <v>37</v>
      </c>
      <c r="E2280" s="1" t="s">
        <v>4697</v>
      </c>
      <c r="F2280" s="1" t="s">
        <v>431</v>
      </c>
      <c r="G2280" s="1" t="str">
        <f>"00615480225"</f>
        <v>00615480225</v>
      </c>
      <c r="I2280" s="1" t="s">
        <v>4698</v>
      </c>
      <c r="L2280" s="1" t="s">
        <v>44</v>
      </c>
      <c r="M2280" s="1" t="s">
        <v>4699</v>
      </c>
      <c r="AG2280" s="1" t="s">
        <v>124</v>
      </c>
      <c r="AH2280" s="2">
        <v>45098</v>
      </c>
      <c r="AI2280" s="2">
        <v>45463</v>
      </c>
      <c r="AJ2280" s="2">
        <v>45098</v>
      </c>
    </row>
    <row r="2281" spans="1:36">
      <c r="A2281" s="1" t="str">
        <f>"9897575944"</f>
        <v>9897575944</v>
      </c>
      <c r="B2281" s="1" t="str">
        <f t="shared" si="55"/>
        <v>02406911202</v>
      </c>
      <c r="C2281" s="1" t="s">
        <v>13</v>
      </c>
      <c r="D2281" s="1" t="s">
        <v>37</v>
      </c>
      <c r="E2281" s="1" t="s">
        <v>4700</v>
      </c>
      <c r="F2281" s="1" t="s">
        <v>117</v>
      </c>
      <c r="G2281" s="1" t="str">
        <f>"08082461008"</f>
        <v>08082461008</v>
      </c>
      <c r="I2281" s="1" t="s">
        <v>423</v>
      </c>
      <c r="L2281" s="1" t="s">
        <v>44</v>
      </c>
      <c r="M2281" s="1" t="s">
        <v>4701</v>
      </c>
      <c r="AG2281" s="1" t="s">
        <v>124</v>
      </c>
      <c r="AH2281" s="2">
        <v>45098</v>
      </c>
      <c r="AI2281" s="2">
        <v>46083</v>
      </c>
      <c r="AJ2281" s="2">
        <v>45098</v>
      </c>
    </row>
    <row r="2282" spans="1:36">
      <c r="A2282" s="1" t="str">
        <f>"Z473BA2AA6"</f>
        <v>Z473BA2AA6</v>
      </c>
      <c r="B2282" s="1" t="str">
        <f t="shared" si="55"/>
        <v>02406911202</v>
      </c>
      <c r="C2282" s="1" t="s">
        <v>13</v>
      </c>
      <c r="D2282" s="1" t="s">
        <v>1312</v>
      </c>
      <c r="E2282" s="1" t="s">
        <v>4702</v>
      </c>
      <c r="F2282" s="1" t="s">
        <v>49</v>
      </c>
      <c r="G2282" s="1" t="str">
        <f>"01418430359"</f>
        <v>01418430359</v>
      </c>
      <c r="I2282" s="1" t="s">
        <v>4703</v>
      </c>
      <c r="L2282" s="1" t="s">
        <v>44</v>
      </c>
      <c r="M2282" s="1" t="s">
        <v>1314</v>
      </c>
      <c r="AG2282" s="1" t="s">
        <v>124</v>
      </c>
      <c r="AH2282" s="2">
        <v>45098</v>
      </c>
      <c r="AI2282" s="2">
        <v>45291</v>
      </c>
      <c r="AJ2282" s="2">
        <v>45098</v>
      </c>
    </row>
    <row r="2283" spans="1:36">
      <c r="A2283" s="1" t="str">
        <f>"98699078E9"</f>
        <v>98699078E9</v>
      </c>
      <c r="B2283" s="1" t="str">
        <f t="shared" si="55"/>
        <v>02406911202</v>
      </c>
      <c r="C2283" s="1" t="s">
        <v>13</v>
      </c>
      <c r="D2283" s="1" t="s">
        <v>37</v>
      </c>
      <c r="E2283" s="1" t="s">
        <v>4704</v>
      </c>
      <c r="F2283" s="1" t="s">
        <v>117</v>
      </c>
      <c r="G2283" s="1" t="str">
        <f>"12878470157"</f>
        <v>12878470157</v>
      </c>
      <c r="I2283" s="1" t="s">
        <v>4705</v>
      </c>
      <c r="L2283" s="1" t="s">
        <v>44</v>
      </c>
      <c r="M2283" s="1" t="s">
        <v>4706</v>
      </c>
      <c r="AG2283" s="1" t="s">
        <v>124</v>
      </c>
      <c r="AH2283" s="2">
        <v>45089</v>
      </c>
      <c r="AI2283" s="2">
        <v>46203</v>
      </c>
      <c r="AJ2283" s="2">
        <v>45089</v>
      </c>
    </row>
    <row r="2284" spans="1:36">
      <c r="A2284" s="1" t="str">
        <f>"Z153B26391"</f>
        <v>Z153B26391</v>
      </c>
      <c r="B2284" s="1" t="str">
        <f t="shared" si="55"/>
        <v>02406911202</v>
      </c>
      <c r="C2284" s="1" t="s">
        <v>13</v>
      </c>
      <c r="D2284" s="1" t="s">
        <v>205</v>
      </c>
      <c r="E2284" s="1" t="s">
        <v>4707</v>
      </c>
      <c r="F2284" s="1" t="s">
        <v>49</v>
      </c>
      <c r="G2284" s="1" t="str">
        <f>"02439491206"</f>
        <v>02439491206</v>
      </c>
      <c r="I2284" s="1" t="s">
        <v>4708</v>
      </c>
      <c r="L2284" s="1" t="s">
        <v>44</v>
      </c>
      <c r="M2284" s="1" t="s">
        <v>747</v>
      </c>
      <c r="AG2284" s="1" t="s">
        <v>4709</v>
      </c>
      <c r="AH2284" s="2">
        <v>45097</v>
      </c>
      <c r="AI2284" s="2">
        <v>45138</v>
      </c>
      <c r="AJ2284" s="2">
        <v>45097</v>
      </c>
    </row>
    <row r="2285" spans="1:36">
      <c r="A2285" s="1" t="str">
        <f>"98947340CF"</f>
        <v>98947340CF</v>
      </c>
      <c r="B2285" s="1" t="str">
        <f t="shared" si="55"/>
        <v>02406911202</v>
      </c>
      <c r="C2285" s="1" t="s">
        <v>13</v>
      </c>
      <c r="D2285" s="1" t="s">
        <v>37</v>
      </c>
      <c r="E2285" s="1" t="s">
        <v>4710</v>
      </c>
      <c r="F2285" s="1" t="s">
        <v>39</v>
      </c>
      <c r="G2285" s="1" t="str">
        <f>"06991390961"</f>
        <v>06991390961</v>
      </c>
      <c r="I2285" s="1" t="s">
        <v>2994</v>
      </c>
      <c r="L2285" s="1" t="s">
        <v>44</v>
      </c>
      <c r="M2285" s="1" t="s">
        <v>4711</v>
      </c>
      <c r="AG2285" s="1" t="s">
        <v>124</v>
      </c>
      <c r="AH2285" s="2">
        <v>45092</v>
      </c>
      <c r="AI2285" s="2">
        <v>45275</v>
      </c>
      <c r="AJ2285" s="2">
        <v>45092</v>
      </c>
    </row>
    <row r="2286" spans="1:36">
      <c r="A2286" s="1" t="str">
        <f>"Z103ACBA11"</f>
        <v>Z103ACBA11</v>
      </c>
      <c r="B2286" s="1" t="str">
        <f t="shared" si="55"/>
        <v>02406911202</v>
      </c>
      <c r="C2286" s="1" t="s">
        <v>13</v>
      </c>
      <c r="D2286" s="1" t="s">
        <v>1312</v>
      </c>
      <c r="E2286" s="1" t="s">
        <v>4712</v>
      </c>
      <c r="F2286" s="1" t="s">
        <v>49</v>
      </c>
      <c r="G2286" s="1" t="str">
        <f>"01296201005"</f>
        <v>01296201005</v>
      </c>
      <c r="I2286" s="1" t="s">
        <v>1634</v>
      </c>
      <c r="L2286" s="1" t="s">
        <v>44</v>
      </c>
      <c r="M2286" s="1" t="s">
        <v>1314</v>
      </c>
      <c r="AG2286" s="1" t="s">
        <v>4713</v>
      </c>
      <c r="AH2286" s="2">
        <v>45030</v>
      </c>
      <c r="AI2286" s="2">
        <v>45657</v>
      </c>
      <c r="AJ2286" s="2">
        <v>45030</v>
      </c>
    </row>
    <row r="2287" spans="1:36">
      <c r="A2287" s="1" t="str">
        <f>"ZB93AF0CAE"</f>
        <v>ZB93AF0CAE</v>
      </c>
      <c r="B2287" s="1" t="str">
        <f t="shared" si="55"/>
        <v>02406911202</v>
      </c>
      <c r="C2287" s="1" t="s">
        <v>13</v>
      </c>
      <c r="D2287" s="1" t="s">
        <v>1312</v>
      </c>
      <c r="E2287" s="1" t="s">
        <v>4714</v>
      </c>
      <c r="F2287" s="1" t="s">
        <v>49</v>
      </c>
      <c r="G2287" s="1" t="str">
        <f>"03862301201"</f>
        <v>03862301201</v>
      </c>
      <c r="I2287" s="1" t="s">
        <v>4715</v>
      </c>
      <c r="L2287" s="1" t="s">
        <v>44</v>
      </c>
      <c r="M2287" s="1" t="s">
        <v>1314</v>
      </c>
      <c r="AG2287" s="1" t="s">
        <v>4716</v>
      </c>
      <c r="AH2287" s="2">
        <v>45043</v>
      </c>
      <c r="AI2287" s="2">
        <v>46387</v>
      </c>
      <c r="AJ2287" s="2">
        <v>45043</v>
      </c>
    </row>
    <row r="2288" spans="1:36">
      <c r="A2288" s="1" t="str">
        <f>"Z8A3AF5D28"</f>
        <v>Z8A3AF5D28</v>
      </c>
      <c r="B2288" s="1" t="str">
        <f t="shared" si="55"/>
        <v>02406911202</v>
      </c>
      <c r="C2288" s="1" t="s">
        <v>13</v>
      </c>
      <c r="D2288" s="1" t="s">
        <v>1312</v>
      </c>
      <c r="E2288" s="1" t="s">
        <v>4717</v>
      </c>
      <c r="F2288" s="1" t="s">
        <v>49</v>
      </c>
      <c r="G2288" s="1" t="str">
        <f>"09018810151"</f>
        <v>09018810151</v>
      </c>
      <c r="I2288" s="1" t="s">
        <v>1542</v>
      </c>
      <c r="L2288" s="1" t="s">
        <v>44</v>
      </c>
      <c r="M2288" s="1" t="s">
        <v>3830</v>
      </c>
      <c r="AG2288" s="1" t="s">
        <v>4718</v>
      </c>
      <c r="AH2288" s="2">
        <v>45044</v>
      </c>
      <c r="AI2288" s="2">
        <v>45107</v>
      </c>
      <c r="AJ2288" s="2">
        <v>45044</v>
      </c>
    </row>
    <row r="2289" spans="1:36">
      <c r="A2289" s="1" t="str">
        <f>"Z4E3B7AD45"</f>
        <v>Z4E3B7AD45</v>
      </c>
      <c r="B2289" s="1" t="str">
        <f t="shared" si="55"/>
        <v>02406911202</v>
      </c>
      <c r="C2289" s="1" t="s">
        <v>13</v>
      </c>
      <c r="D2289" s="1" t="s">
        <v>205</v>
      </c>
      <c r="E2289" s="1" t="s">
        <v>4719</v>
      </c>
      <c r="F2289" s="1" t="s">
        <v>4463</v>
      </c>
      <c r="G2289" s="1" t="str">
        <f>"02171351204"</f>
        <v>02171351204</v>
      </c>
      <c r="I2289" s="1" t="s">
        <v>4558</v>
      </c>
      <c r="L2289" s="1" t="s">
        <v>44</v>
      </c>
      <c r="M2289" s="1" t="s">
        <v>4720</v>
      </c>
      <c r="AG2289" s="1" t="s">
        <v>4720</v>
      </c>
      <c r="AH2289" s="2">
        <v>45085</v>
      </c>
      <c r="AI2289" s="2">
        <v>45291</v>
      </c>
      <c r="AJ2289" s="2">
        <v>45085</v>
      </c>
    </row>
    <row r="2290" spans="1:36">
      <c r="A2290" s="1" t="str">
        <f>"ZC63B7F8C1"</f>
        <v>ZC63B7F8C1</v>
      </c>
      <c r="B2290" s="1" t="str">
        <f t="shared" si="55"/>
        <v>02406911202</v>
      </c>
      <c r="C2290" s="1" t="s">
        <v>13</v>
      </c>
      <c r="D2290" s="1" t="s">
        <v>1312</v>
      </c>
      <c r="E2290" s="1" t="s">
        <v>4721</v>
      </c>
      <c r="F2290" s="1" t="s">
        <v>49</v>
      </c>
      <c r="G2290" s="1" t="str">
        <f>"05288490286"</f>
        <v>05288490286</v>
      </c>
      <c r="I2290" s="1" t="s">
        <v>4722</v>
      </c>
      <c r="L2290" s="1" t="s">
        <v>44</v>
      </c>
      <c r="M2290" s="1" t="s">
        <v>1314</v>
      </c>
      <c r="AG2290" s="1" t="s">
        <v>124</v>
      </c>
      <c r="AH2290" s="2">
        <v>45086</v>
      </c>
      <c r="AI2290" s="2">
        <v>46022</v>
      </c>
      <c r="AJ2290" s="2">
        <v>45086</v>
      </c>
    </row>
    <row r="2291" spans="1:36">
      <c r="A2291" s="1" t="str">
        <f>"Z193B80EC2"</f>
        <v>Z193B80EC2</v>
      </c>
      <c r="B2291" s="1" t="str">
        <f t="shared" si="55"/>
        <v>02406911202</v>
      </c>
      <c r="C2291" s="1" t="s">
        <v>13</v>
      </c>
      <c r="D2291" s="1" t="s">
        <v>1312</v>
      </c>
      <c r="E2291" s="1" t="s">
        <v>4723</v>
      </c>
      <c r="F2291" s="1" t="s">
        <v>49</v>
      </c>
      <c r="G2291" s="1" t="str">
        <f>"12864800151"</f>
        <v>12864800151</v>
      </c>
      <c r="I2291" s="1" t="s">
        <v>1393</v>
      </c>
      <c r="L2291" s="1" t="s">
        <v>44</v>
      </c>
      <c r="M2291" s="1" t="s">
        <v>1314</v>
      </c>
      <c r="AG2291" s="1" t="s">
        <v>124</v>
      </c>
      <c r="AH2291" s="2">
        <v>45086</v>
      </c>
      <c r="AI2291" s="2">
        <v>46022</v>
      </c>
      <c r="AJ2291" s="2">
        <v>45086</v>
      </c>
    </row>
    <row r="2292" spans="1:36">
      <c r="A2292" s="1" t="str">
        <f>"ZBA3B84AD2"</f>
        <v>ZBA3B84AD2</v>
      </c>
      <c r="B2292" s="1" t="str">
        <f t="shared" si="55"/>
        <v>02406911202</v>
      </c>
      <c r="C2292" s="1" t="s">
        <v>13</v>
      </c>
      <c r="D2292" s="1" t="s">
        <v>1312</v>
      </c>
      <c r="E2292" s="1" t="s">
        <v>4724</v>
      </c>
      <c r="F2292" s="1" t="s">
        <v>49</v>
      </c>
      <c r="G2292" s="1" t="str">
        <f>"02672850357"</f>
        <v>02672850357</v>
      </c>
      <c r="I2292" s="1" t="s">
        <v>4725</v>
      </c>
      <c r="L2292" s="1" t="s">
        <v>44</v>
      </c>
      <c r="M2292" s="1" t="s">
        <v>1735</v>
      </c>
      <c r="AG2292" s="1" t="s">
        <v>124</v>
      </c>
      <c r="AH2292" s="2">
        <v>45090</v>
      </c>
      <c r="AI2292" s="2">
        <v>45291</v>
      </c>
      <c r="AJ2292" s="2">
        <v>45090</v>
      </c>
    </row>
    <row r="2293" spans="1:36">
      <c r="A2293" s="1" t="str">
        <f>"Z1F3B898A9"</f>
        <v>Z1F3B898A9</v>
      </c>
      <c r="B2293" s="1" t="str">
        <f t="shared" si="55"/>
        <v>02406911202</v>
      </c>
      <c r="C2293" s="1" t="s">
        <v>13</v>
      </c>
      <c r="D2293" s="1" t="s">
        <v>1253</v>
      </c>
      <c r="E2293" s="1" t="s">
        <v>1262</v>
      </c>
      <c r="F2293" s="1" t="s">
        <v>49</v>
      </c>
      <c r="G2293" s="1" t="str">
        <f>"02689300123"</f>
        <v>02689300123</v>
      </c>
      <c r="I2293" s="1" t="s">
        <v>2055</v>
      </c>
      <c r="L2293" s="1" t="s">
        <v>44</v>
      </c>
      <c r="M2293" s="1" t="s">
        <v>1255</v>
      </c>
      <c r="AG2293" s="1" t="s">
        <v>4726</v>
      </c>
      <c r="AH2293" s="2">
        <v>45091</v>
      </c>
      <c r="AI2293" s="2">
        <v>45291</v>
      </c>
      <c r="AJ2293" s="2">
        <v>45091</v>
      </c>
    </row>
    <row r="2294" spans="1:36">
      <c r="A2294" s="1" t="str">
        <f>"Z843B8BDB0"</f>
        <v>Z843B8BDB0</v>
      </c>
      <c r="B2294" s="1" t="str">
        <f t="shared" si="55"/>
        <v>02406911202</v>
      </c>
      <c r="C2294" s="1" t="s">
        <v>13</v>
      </c>
      <c r="D2294" s="1" t="s">
        <v>1312</v>
      </c>
      <c r="E2294" s="1" t="s">
        <v>4727</v>
      </c>
      <c r="F2294" s="1" t="s">
        <v>49</v>
      </c>
      <c r="G2294" s="1" t="str">
        <f>"02501461202"</f>
        <v>02501461202</v>
      </c>
      <c r="I2294" s="1" t="s">
        <v>2278</v>
      </c>
      <c r="L2294" s="1" t="s">
        <v>44</v>
      </c>
      <c r="M2294" s="1" t="s">
        <v>1314</v>
      </c>
      <c r="AG2294" s="1" t="s">
        <v>4728</v>
      </c>
      <c r="AH2294" s="2">
        <v>45091</v>
      </c>
      <c r="AI2294" s="2">
        <v>46022</v>
      </c>
      <c r="AJ2294" s="2">
        <v>45091</v>
      </c>
    </row>
    <row r="2295" spans="1:36">
      <c r="A2295" s="1" t="str">
        <f>"Z713B7E3CE"</f>
        <v>Z713B7E3CE</v>
      </c>
      <c r="B2295" s="1" t="str">
        <f t="shared" si="55"/>
        <v>02406911202</v>
      </c>
      <c r="C2295" s="1" t="s">
        <v>13</v>
      </c>
      <c r="D2295" s="1" t="s">
        <v>1257</v>
      </c>
      <c r="E2295" s="1" t="s">
        <v>4729</v>
      </c>
      <c r="F2295" s="1" t="s">
        <v>49</v>
      </c>
      <c r="G2295" s="1" t="str">
        <f>"10114440158"</f>
        <v>10114440158</v>
      </c>
      <c r="I2295" s="1" t="s">
        <v>4730</v>
      </c>
      <c r="L2295" s="1" t="s">
        <v>44</v>
      </c>
      <c r="M2295" s="1" t="s">
        <v>930</v>
      </c>
      <c r="AG2295" s="1" t="s">
        <v>4731</v>
      </c>
      <c r="AH2295" s="2">
        <v>45086</v>
      </c>
      <c r="AI2295" s="2">
        <v>45291</v>
      </c>
      <c r="AJ2295" s="2">
        <v>45086</v>
      </c>
    </row>
    <row r="2296" spans="1:36">
      <c r="A2296" s="1" t="str">
        <f>"Z813B7E723"</f>
        <v>Z813B7E723</v>
      </c>
      <c r="B2296" s="1" t="str">
        <f t="shared" si="55"/>
        <v>02406911202</v>
      </c>
      <c r="C2296" s="1" t="s">
        <v>13</v>
      </c>
      <c r="D2296" s="1" t="s">
        <v>1312</v>
      </c>
      <c r="E2296" s="1" t="s">
        <v>4732</v>
      </c>
      <c r="F2296" s="1" t="s">
        <v>49</v>
      </c>
      <c r="G2296" s="1" t="str">
        <f>"01597140282"</f>
        <v>01597140282</v>
      </c>
      <c r="I2296" s="1" t="s">
        <v>1894</v>
      </c>
      <c r="L2296" s="1" t="s">
        <v>44</v>
      </c>
      <c r="M2296" s="1" t="s">
        <v>1314</v>
      </c>
      <c r="AG2296" s="1" t="s">
        <v>2150</v>
      </c>
      <c r="AH2296" s="2">
        <v>45086</v>
      </c>
      <c r="AI2296" s="2">
        <v>46022</v>
      </c>
      <c r="AJ2296" s="2">
        <v>45086</v>
      </c>
    </row>
    <row r="2297" spans="1:36">
      <c r="A2297" s="1" t="str">
        <f>"Z173B83D48"</f>
        <v>Z173B83D48</v>
      </c>
      <c r="B2297" s="1" t="str">
        <f t="shared" si="55"/>
        <v>02406911202</v>
      </c>
      <c r="C2297" s="1" t="s">
        <v>13</v>
      </c>
      <c r="D2297" s="1" t="s">
        <v>1253</v>
      </c>
      <c r="E2297" s="1" t="s">
        <v>1260</v>
      </c>
      <c r="F2297" s="1" t="s">
        <v>49</v>
      </c>
      <c r="G2297" s="1" t="str">
        <f>"08082461008"</f>
        <v>08082461008</v>
      </c>
      <c r="I2297" s="1" t="s">
        <v>423</v>
      </c>
      <c r="L2297" s="1" t="s">
        <v>44</v>
      </c>
      <c r="M2297" s="1" t="s">
        <v>1255</v>
      </c>
      <c r="AG2297" s="1" t="s">
        <v>4733</v>
      </c>
      <c r="AH2297" s="2">
        <v>45090</v>
      </c>
      <c r="AI2297" s="2">
        <v>45291</v>
      </c>
      <c r="AJ2297" s="2">
        <v>45090</v>
      </c>
    </row>
    <row r="2298" spans="1:36">
      <c r="A2298" s="1" t="str">
        <f>"Z7D3BA899A"</f>
        <v>Z7D3BA899A</v>
      </c>
      <c r="B2298" s="1" t="str">
        <f t="shared" si="55"/>
        <v>02406911202</v>
      </c>
      <c r="C2298" s="1" t="s">
        <v>13</v>
      </c>
      <c r="D2298" s="1" t="s">
        <v>1253</v>
      </c>
      <c r="E2298" s="1" t="s">
        <v>1260</v>
      </c>
      <c r="F2298" s="1" t="s">
        <v>49</v>
      </c>
      <c r="G2298" s="1" t="str">
        <f>"01799221005"</f>
        <v>01799221005</v>
      </c>
      <c r="I2298" s="1" t="s">
        <v>2875</v>
      </c>
      <c r="L2298" s="1" t="s">
        <v>44</v>
      </c>
      <c r="M2298" s="1" t="s">
        <v>1255</v>
      </c>
      <c r="AG2298" s="1" t="s">
        <v>124</v>
      </c>
      <c r="AH2298" s="2">
        <v>45099</v>
      </c>
      <c r="AI2298" s="2">
        <v>45291</v>
      </c>
      <c r="AJ2298" s="2">
        <v>45099</v>
      </c>
    </row>
    <row r="2299" spans="1:36">
      <c r="A2299" s="1" t="str">
        <f>"ZD93BAEFDB"</f>
        <v>ZD93BAEFDB</v>
      </c>
      <c r="B2299" s="1" t="str">
        <f t="shared" si="55"/>
        <v>02406911202</v>
      </c>
      <c r="C2299" s="1" t="s">
        <v>13</v>
      </c>
      <c r="D2299" s="1" t="s">
        <v>1257</v>
      </c>
      <c r="E2299" s="1" t="s">
        <v>4734</v>
      </c>
      <c r="F2299" s="1" t="s">
        <v>49</v>
      </c>
      <c r="G2299" s="1" t="str">
        <f>"00742090152"</f>
        <v>00742090152</v>
      </c>
      <c r="I2299" s="1" t="s">
        <v>4735</v>
      </c>
      <c r="L2299" s="1" t="s">
        <v>44</v>
      </c>
      <c r="M2299" s="1" t="s">
        <v>103</v>
      </c>
      <c r="AG2299" s="1" t="s">
        <v>124</v>
      </c>
      <c r="AH2299" s="2">
        <v>45103</v>
      </c>
      <c r="AI2299" s="2">
        <v>45291</v>
      </c>
      <c r="AJ2299" s="2">
        <v>45103</v>
      </c>
    </row>
    <row r="2300" spans="1:36">
      <c r="A2300" s="1" t="str">
        <f>"Z593BA9964"</f>
        <v>Z593BA9964</v>
      </c>
      <c r="B2300" s="1" t="str">
        <f t="shared" si="55"/>
        <v>02406911202</v>
      </c>
      <c r="C2300" s="1" t="s">
        <v>13</v>
      </c>
      <c r="D2300" s="1" t="s">
        <v>37</v>
      </c>
      <c r="E2300" s="1" t="s">
        <v>4736</v>
      </c>
      <c r="F2300" s="1" t="s">
        <v>117</v>
      </c>
      <c r="G2300" s="1" t="str">
        <f>"01423300183"</f>
        <v>01423300183</v>
      </c>
      <c r="I2300" s="1" t="s">
        <v>1388</v>
      </c>
      <c r="L2300" s="1" t="s">
        <v>44</v>
      </c>
      <c r="M2300" s="1" t="s">
        <v>4588</v>
      </c>
      <c r="AG2300" s="1" t="s">
        <v>124</v>
      </c>
      <c r="AH2300" s="2">
        <v>45105</v>
      </c>
      <c r="AI2300" s="2">
        <v>46022</v>
      </c>
      <c r="AJ2300" s="2">
        <v>45105</v>
      </c>
    </row>
    <row r="2301" spans="1:36">
      <c r="A2301" s="1" t="str">
        <f>"Z203BC1DFB"</f>
        <v>Z203BC1DFB</v>
      </c>
      <c r="B2301" s="1" t="str">
        <f t="shared" si="55"/>
        <v>02406911202</v>
      </c>
      <c r="C2301" s="1" t="s">
        <v>13</v>
      </c>
      <c r="D2301" s="1" t="s">
        <v>1257</v>
      </c>
      <c r="E2301" s="1" t="s">
        <v>4737</v>
      </c>
      <c r="F2301" s="1" t="s">
        <v>49</v>
      </c>
      <c r="G2301" s="1" t="str">
        <f>"02504331204"</f>
        <v>02504331204</v>
      </c>
      <c r="I2301" s="1" t="s">
        <v>1302</v>
      </c>
      <c r="L2301" s="1" t="s">
        <v>44</v>
      </c>
      <c r="M2301" s="1" t="s">
        <v>4738</v>
      </c>
      <c r="AG2301" s="1" t="s">
        <v>124</v>
      </c>
      <c r="AH2301" s="2">
        <v>45107</v>
      </c>
      <c r="AI2301" s="2">
        <v>45138</v>
      </c>
      <c r="AJ2301" s="2">
        <v>45107</v>
      </c>
    </row>
    <row r="2302" spans="1:36">
      <c r="A2302" s="1" t="str">
        <f>"Z693AD5E43"</f>
        <v>Z693AD5E43</v>
      </c>
      <c r="B2302" s="1" t="str">
        <f t="shared" si="55"/>
        <v>02406911202</v>
      </c>
      <c r="C2302" s="1" t="s">
        <v>13</v>
      </c>
      <c r="D2302" s="1" t="s">
        <v>1253</v>
      </c>
      <c r="E2302" s="1" t="s">
        <v>1317</v>
      </c>
      <c r="F2302" s="1" t="s">
        <v>49</v>
      </c>
      <c r="G2302" s="1" t="str">
        <f>"01630000287"</f>
        <v>01630000287</v>
      </c>
      <c r="I2302" s="1" t="s">
        <v>1470</v>
      </c>
      <c r="L2302" s="1" t="s">
        <v>44</v>
      </c>
      <c r="M2302" s="1" t="s">
        <v>1255</v>
      </c>
      <c r="AG2302" s="1" t="s">
        <v>4739</v>
      </c>
      <c r="AH2302" s="2">
        <v>45035</v>
      </c>
      <c r="AI2302" s="2">
        <v>45291</v>
      </c>
      <c r="AJ2302" s="2">
        <v>45035</v>
      </c>
    </row>
    <row r="2303" spans="1:36">
      <c r="A2303" s="1" t="str">
        <f>"Z5C3B0597C"</f>
        <v>Z5C3B0597C</v>
      </c>
      <c r="B2303" s="1" t="str">
        <f t="shared" si="55"/>
        <v>02406911202</v>
      </c>
      <c r="C2303" s="1" t="s">
        <v>13</v>
      </c>
      <c r="D2303" s="1" t="s">
        <v>1253</v>
      </c>
      <c r="E2303" s="1" t="s">
        <v>1387</v>
      </c>
      <c r="F2303" s="1" t="s">
        <v>49</v>
      </c>
      <c r="G2303" s="1" t="str">
        <f>"07649050965"</f>
        <v>07649050965</v>
      </c>
      <c r="I2303" s="1" t="s">
        <v>3072</v>
      </c>
      <c r="L2303" s="1" t="s">
        <v>44</v>
      </c>
      <c r="M2303" s="1" t="s">
        <v>1255</v>
      </c>
      <c r="AG2303" s="1" t="s">
        <v>918</v>
      </c>
      <c r="AH2303" s="2">
        <v>45050</v>
      </c>
      <c r="AI2303" s="2">
        <v>45291</v>
      </c>
      <c r="AJ2303" s="2">
        <v>45050</v>
      </c>
    </row>
    <row r="2304" spans="1:36">
      <c r="A2304" s="1" t="str">
        <f>"9860878DF0"</f>
        <v>9860878DF0</v>
      </c>
      <c r="B2304" s="1" t="str">
        <f t="shared" si="55"/>
        <v>02406911202</v>
      </c>
      <c r="C2304" s="1" t="s">
        <v>13</v>
      </c>
      <c r="D2304" s="1" t="s">
        <v>37</v>
      </c>
      <c r="E2304" s="1" t="s">
        <v>4151</v>
      </c>
      <c r="F2304" s="1" t="s">
        <v>117</v>
      </c>
      <c r="G2304" s="1" t="str">
        <f>"00832400154"</f>
        <v>00832400154</v>
      </c>
      <c r="I2304" s="1" t="s">
        <v>285</v>
      </c>
      <c r="L2304" s="1" t="s">
        <v>44</v>
      </c>
      <c r="M2304" s="1" t="s">
        <v>520</v>
      </c>
      <c r="AG2304" s="1" t="s">
        <v>914</v>
      </c>
      <c r="AH2304" s="2">
        <v>45082</v>
      </c>
      <c r="AI2304" s="2">
        <v>45230</v>
      </c>
      <c r="AJ2304" s="2">
        <v>45082</v>
      </c>
    </row>
    <row r="2305" spans="1:36">
      <c r="A2305" s="1" t="str">
        <f>"ZF03B75397"</f>
        <v>ZF03B75397</v>
      </c>
      <c r="B2305" s="1" t="str">
        <f t="shared" si="55"/>
        <v>02406911202</v>
      </c>
      <c r="C2305" s="1" t="s">
        <v>13</v>
      </c>
      <c r="D2305" s="1" t="s">
        <v>1312</v>
      </c>
      <c r="E2305" s="1" t="s">
        <v>4740</v>
      </c>
      <c r="F2305" s="1" t="s">
        <v>49</v>
      </c>
      <c r="G2305" s="1" t="str">
        <f>"02373581202"</f>
        <v>02373581202</v>
      </c>
      <c r="I2305" s="1" t="s">
        <v>1405</v>
      </c>
      <c r="L2305" s="1" t="s">
        <v>44</v>
      </c>
      <c r="M2305" s="1" t="s">
        <v>1314</v>
      </c>
      <c r="AG2305" s="1" t="s">
        <v>4741</v>
      </c>
      <c r="AH2305" s="2">
        <v>45084</v>
      </c>
      <c r="AI2305" s="2">
        <v>45291</v>
      </c>
      <c r="AJ2305" s="2">
        <v>45084</v>
      </c>
    </row>
    <row r="2306" spans="1:36">
      <c r="A2306" s="1" t="str">
        <f>"Z203B75D38"</f>
        <v>Z203B75D38</v>
      </c>
      <c r="B2306" s="1" t="str">
        <f t="shared" si="55"/>
        <v>02406911202</v>
      </c>
      <c r="C2306" s="1" t="s">
        <v>13</v>
      </c>
      <c r="D2306" s="1" t="s">
        <v>1253</v>
      </c>
      <c r="E2306" s="1" t="s">
        <v>1270</v>
      </c>
      <c r="F2306" s="1" t="s">
        <v>49</v>
      </c>
      <c r="G2306" s="1" t="str">
        <f>"09971540159"</f>
        <v>09971540159</v>
      </c>
      <c r="I2306" s="1" t="s">
        <v>4742</v>
      </c>
      <c r="L2306" s="1" t="s">
        <v>44</v>
      </c>
      <c r="M2306" s="1" t="s">
        <v>153</v>
      </c>
      <c r="AG2306" s="1" t="s">
        <v>4743</v>
      </c>
      <c r="AH2306" s="2">
        <v>45084</v>
      </c>
      <c r="AI2306" s="2">
        <v>45291</v>
      </c>
      <c r="AJ2306" s="2">
        <v>45084</v>
      </c>
    </row>
    <row r="2307" spans="1:36">
      <c r="A2307" s="1" t="str">
        <f>"Z623B78494"</f>
        <v>Z623B78494</v>
      </c>
      <c r="B2307" s="1" t="str">
        <f t="shared" si="55"/>
        <v>02406911202</v>
      </c>
      <c r="C2307" s="1" t="s">
        <v>13</v>
      </c>
      <c r="D2307" s="1" t="s">
        <v>1257</v>
      </c>
      <c r="E2307" s="1" t="s">
        <v>4744</v>
      </c>
      <c r="F2307" s="1" t="s">
        <v>49</v>
      </c>
      <c r="G2307" s="1" t="str">
        <f>"00884570375"</f>
        <v>00884570375</v>
      </c>
      <c r="I2307" s="1" t="s">
        <v>4745</v>
      </c>
      <c r="L2307" s="1" t="s">
        <v>44</v>
      </c>
      <c r="M2307" s="1" t="s">
        <v>930</v>
      </c>
      <c r="AG2307" s="1" t="s">
        <v>124</v>
      </c>
      <c r="AH2307" s="2">
        <v>45085</v>
      </c>
      <c r="AI2307" s="2">
        <v>45291</v>
      </c>
      <c r="AJ2307" s="2">
        <v>45085</v>
      </c>
    </row>
    <row r="2308" spans="1:36">
      <c r="A2308" s="1" t="str">
        <f>"Z223B783FF"</f>
        <v>Z223B783FF</v>
      </c>
      <c r="B2308" s="1" t="str">
        <f t="shared" si="55"/>
        <v>02406911202</v>
      </c>
      <c r="C2308" s="1" t="s">
        <v>13</v>
      </c>
      <c r="D2308" s="1" t="s">
        <v>1312</v>
      </c>
      <c r="E2308" s="1" t="s">
        <v>4746</v>
      </c>
      <c r="F2308" s="1" t="s">
        <v>49</v>
      </c>
      <c r="G2308" s="1" t="str">
        <f>"02376321200"</f>
        <v>02376321200</v>
      </c>
      <c r="I2308" s="1" t="s">
        <v>1884</v>
      </c>
      <c r="L2308" s="1" t="s">
        <v>44</v>
      </c>
      <c r="M2308" s="1" t="s">
        <v>1735</v>
      </c>
      <c r="AG2308" s="1" t="s">
        <v>4747</v>
      </c>
      <c r="AH2308" s="2">
        <v>45085</v>
      </c>
      <c r="AI2308" s="2">
        <v>45291</v>
      </c>
      <c r="AJ2308" s="2">
        <v>45085</v>
      </c>
    </row>
    <row r="2309" spans="1:36">
      <c r="A2309" s="1" t="str">
        <f>"9863696370"</f>
        <v>9863696370</v>
      </c>
      <c r="B2309" s="1" t="str">
        <f t="shared" si="55"/>
        <v>02406911202</v>
      </c>
      <c r="C2309" s="1" t="s">
        <v>13</v>
      </c>
      <c r="D2309" s="1" t="s">
        <v>37</v>
      </c>
      <c r="E2309" s="1" t="s">
        <v>4153</v>
      </c>
      <c r="F2309" s="1" t="s">
        <v>117</v>
      </c>
      <c r="G2309" s="1" t="str">
        <f>"09238800156"</f>
        <v>09238800156</v>
      </c>
      <c r="I2309" s="1" t="s">
        <v>88</v>
      </c>
      <c r="L2309" s="1" t="s">
        <v>44</v>
      </c>
      <c r="M2309" s="1" t="s">
        <v>848</v>
      </c>
      <c r="AG2309" s="1" t="s">
        <v>124</v>
      </c>
      <c r="AH2309" s="2">
        <v>45082</v>
      </c>
      <c r="AI2309" s="2">
        <v>45291</v>
      </c>
      <c r="AJ2309" s="2">
        <v>45082</v>
      </c>
    </row>
    <row r="2310" spans="1:36">
      <c r="A2310" s="1" t="str">
        <f>"9863743A37"</f>
        <v>9863743A37</v>
      </c>
      <c r="B2310" s="1" t="str">
        <f t="shared" ref="B2310:B2373" si="56">"02406911202"</f>
        <v>02406911202</v>
      </c>
      <c r="C2310" s="1" t="s">
        <v>13</v>
      </c>
      <c r="D2310" s="1" t="s">
        <v>37</v>
      </c>
      <c r="E2310" s="1" t="s">
        <v>4153</v>
      </c>
      <c r="F2310" s="1" t="s">
        <v>117</v>
      </c>
      <c r="G2310" s="1" t="str">
        <f>"01836081008"</f>
        <v>01836081008</v>
      </c>
      <c r="I2310" s="1" t="s">
        <v>4748</v>
      </c>
      <c r="L2310" s="1" t="s">
        <v>44</v>
      </c>
      <c r="M2310" s="1" t="s">
        <v>852</v>
      </c>
      <c r="AG2310" s="1" t="s">
        <v>124</v>
      </c>
      <c r="AH2310" s="2">
        <v>45082</v>
      </c>
      <c r="AI2310" s="2">
        <v>45291</v>
      </c>
      <c r="AJ2310" s="2">
        <v>45082</v>
      </c>
    </row>
    <row r="2311" spans="1:36">
      <c r="A2311" s="1" t="str">
        <f>"98637743CE"</f>
        <v>98637743CE</v>
      </c>
      <c r="B2311" s="1" t="str">
        <f t="shared" si="56"/>
        <v>02406911202</v>
      </c>
      <c r="C2311" s="1" t="s">
        <v>13</v>
      </c>
      <c r="D2311" s="1" t="s">
        <v>37</v>
      </c>
      <c r="E2311" s="1" t="s">
        <v>4153</v>
      </c>
      <c r="F2311" s="1" t="s">
        <v>117</v>
      </c>
      <c r="G2311" s="1" t="str">
        <f>"01364640233"</f>
        <v>01364640233</v>
      </c>
      <c r="I2311" s="1" t="s">
        <v>2668</v>
      </c>
      <c r="L2311" s="1" t="s">
        <v>44</v>
      </c>
      <c r="M2311" s="1" t="s">
        <v>855</v>
      </c>
      <c r="AG2311" s="1" t="s">
        <v>124</v>
      </c>
      <c r="AH2311" s="2">
        <v>45082</v>
      </c>
      <c r="AI2311" s="2">
        <v>45291</v>
      </c>
      <c r="AJ2311" s="2">
        <v>45082</v>
      </c>
    </row>
    <row r="2312" spans="1:36">
      <c r="A2312" s="1" t="str">
        <f>"9862273D21"</f>
        <v>9862273D21</v>
      </c>
      <c r="B2312" s="1" t="str">
        <f t="shared" si="56"/>
        <v>02406911202</v>
      </c>
      <c r="C2312" s="1" t="s">
        <v>13</v>
      </c>
      <c r="D2312" s="1" t="s">
        <v>37</v>
      </c>
      <c r="E2312" s="1" t="s">
        <v>4749</v>
      </c>
      <c r="F2312" s="1" t="s">
        <v>39</v>
      </c>
      <c r="G2312" s="1" t="str">
        <f>"01857820284"</f>
        <v>01857820284</v>
      </c>
      <c r="I2312" s="1" t="s">
        <v>674</v>
      </c>
      <c r="L2312" s="1" t="s">
        <v>44</v>
      </c>
      <c r="M2312" s="1" t="s">
        <v>676</v>
      </c>
      <c r="AG2312" s="1" t="s">
        <v>124</v>
      </c>
      <c r="AH2312" s="2">
        <v>45078</v>
      </c>
      <c r="AI2312" s="2">
        <v>45443</v>
      </c>
      <c r="AJ2312" s="2">
        <v>45078</v>
      </c>
    </row>
    <row r="2313" spans="1:36">
      <c r="A2313" s="1" t="str">
        <f>"ZAA3BC3187"</f>
        <v>ZAA3BC3187</v>
      </c>
      <c r="B2313" s="1" t="str">
        <f t="shared" si="56"/>
        <v>02406911202</v>
      </c>
      <c r="C2313" s="1" t="s">
        <v>13</v>
      </c>
      <c r="D2313" s="1" t="s">
        <v>1253</v>
      </c>
      <c r="E2313" s="1" t="s">
        <v>1254</v>
      </c>
      <c r="F2313" s="1" t="s">
        <v>49</v>
      </c>
      <c r="G2313" s="1" t="str">
        <f>"01630000287"</f>
        <v>01630000287</v>
      </c>
      <c r="I2313" s="1" t="s">
        <v>1470</v>
      </c>
      <c r="L2313" s="1" t="s">
        <v>44</v>
      </c>
      <c r="M2313" s="1" t="s">
        <v>1255</v>
      </c>
      <c r="AG2313" s="1" t="s">
        <v>4750</v>
      </c>
      <c r="AH2313" s="2">
        <v>45107</v>
      </c>
      <c r="AI2313" s="2">
        <v>45291</v>
      </c>
      <c r="AJ2313" s="2">
        <v>45107</v>
      </c>
    </row>
    <row r="2314" spans="1:36">
      <c r="A2314" s="1" t="str">
        <f>"ZCC3BC32D9"</f>
        <v>ZCC3BC32D9</v>
      </c>
      <c r="B2314" s="1" t="str">
        <f t="shared" si="56"/>
        <v>02406911202</v>
      </c>
      <c r="C2314" s="1" t="s">
        <v>13</v>
      </c>
      <c r="D2314" s="1" t="s">
        <v>1312</v>
      </c>
      <c r="E2314" s="1" t="s">
        <v>4751</v>
      </c>
      <c r="F2314" s="1" t="s">
        <v>49</v>
      </c>
      <c r="G2314" s="1" t="str">
        <f>"01067490050"</f>
        <v>01067490050</v>
      </c>
      <c r="I2314" s="1" t="s">
        <v>1274</v>
      </c>
      <c r="L2314" s="1" t="s">
        <v>44</v>
      </c>
      <c r="M2314" s="1" t="s">
        <v>1314</v>
      </c>
      <c r="AG2314" s="1" t="s">
        <v>124</v>
      </c>
      <c r="AH2314" s="2">
        <v>45107</v>
      </c>
      <c r="AI2314" s="2">
        <v>46022</v>
      </c>
      <c r="AJ2314" s="2">
        <v>45107</v>
      </c>
    </row>
    <row r="2315" spans="1:36">
      <c r="A2315" s="1" t="str">
        <f>"Z413A8BAEB"</f>
        <v>Z413A8BAEB</v>
      </c>
      <c r="B2315" s="1" t="str">
        <f t="shared" si="56"/>
        <v>02406911202</v>
      </c>
      <c r="C2315" s="1" t="s">
        <v>13</v>
      </c>
      <c r="D2315" s="1" t="s">
        <v>1253</v>
      </c>
      <c r="E2315" s="1" t="s">
        <v>1262</v>
      </c>
      <c r="F2315" s="1" t="s">
        <v>49</v>
      </c>
      <c r="G2315" s="1" t="str">
        <f>"10087630967"</f>
        <v>10087630967</v>
      </c>
      <c r="I2315" s="1" t="s">
        <v>3414</v>
      </c>
      <c r="L2315" s="1" t="s">
        <v>44</v>
      </c>
      <c r="M2315" s="1" t="s">
        <v>1255</v>
      </c>
      <c r="AG2315" s="1" t="s">
        <v>4752</v>
      </c>
      <c r="AH2315" s="2">
        <v>45012</v>
      </c>
      <c r="AI2315" s="2">
        <v>45291</v>
      </c>
      <c r="AJ2315" s="2">
        <v>45012</v>
      </c>
    </row>
    <row r="2316" spans="1:36">
      <c r="A2316" s="1" t="str">
        <f>"Z7A3A8C175"</f>
        <v>Z7A3A8C175</v>
      </c>
      <c r="B2316" s="1" t="str">
        <f t="shared" si="56"/>
        <v>02406911202</v>
      </c>
      <c r="C2316" s="1" t="s">
        <v>13</v>
      </c>
      <c r="D2316" s="1" t="s">
        <v>1253</v>
      </c>
      <c r="E2316" s="1" t="s">
        <v>1262</v>
      </c>
      <c r="F2316" s="1" t="s">
        <v>49</v>
      </c>
      <c r="G2316" s="1" t="str">
        <f>"02344710484"</f>
        <v>02344710484</v>
      </c>
      <c r="I2316" s="1" t="s">
        <v>1747</v>
      </c>
      <c r="L2316" s="1" t="s">
        <v>44</v>
      </c>
      <c r="M2316" s="1" t="s">
        <v>1255</v>
      </c>
      <c r="AG2316" s="1" t="s">
        <v>4753</v>
      </c>
      <c r="AH2316" s="2">
        <v>45012</v>
      </c>
      <c r="AI2316" s="2">
        <v>45291</v>
      </c>
      <c r="AJ2316" s="2">
        <v>45012</v>
      </c>
    </row>
    <row r="2317" spans="1:36">
      <c r="A2317" s="1" t="str">
        <f>"Z643A8E4B5"</f>
        <v>Z643A8E4B5</v>
      </c>
      <c r="B2317" s="1" t="str">
        <f t="shared" si="56"/>
        <v>02406911202</v>
      </c>
      <c r="C2317" s="1" t="s">
        <v>13</v>
      </c>
      <c r="D2317" s="1" t="s">
        <v>1253</v>
      </c>
      <c r="E2317" s="1" t="s">
        <v>3083</v>
      </c>
      <c r="F2317" s="1" t="s">
        <v>1403</v>
      </c>
      <c r="G2317" s="1" t="str">
        <f>"01737830230"</f>
        <v>01737830230</v>
      </c>
      <c r="I2317" s="1" t="s">
        <v>1696</v>
      </c>
      <c r="L2317" s="1" t="s">
        <v>44</v>
      </c>
      <c r="M2317" s="1" t="s">
        <v>1255</v>
      </c>
      <c r="AG2317" s="1" t="s">
        <v>4754</v>
      </c>
      <c r="AH2317" s="2">
        <v>45013</v>
      </c>
      <c r="AI2317" s="2">
        <v>45291</v>
      </c>
      <c r="AJ2317" s="2">
        <v>45013</v>
      </c>
    </row>
    <row r="2318" spans="1:36">
      <c r="A2318" s="1" t="str">
        <f>"ZC13A8E739"</f>
        <v>ZC13A8E739</v>
      </c>
      <c r="B2318" s="1" t="str">
        <f t="shared" si="56"/>
        <v>02406911202</v>
      </c>
      <c r="C2318" s="1" t="s">
        <v>13</v>
      </c>
      <c r="D2318" s="1" t="s">
        <v>1257</v>
      </c>
      <c r="E2318" s="1" t="s">
        <v>4755</v>
      </c>
      <c r="F2318" s="1" t="s">
        <v>49</v>
      </c>
      <c r="G2318" s="1" t="str">
        <f>"06754140157"</f>
        <v>06754140157</v>
      </c>
      <c r="I2318" s="1" t="s">
        <v>2665</v>
      </c>
      <c r="L2318" s="1" t="s">
        <v>44</v>
      </c>
      <c r="M2318" s="1" t="s">
        <v>946</v>
      </c>
      <c r="AG2318" s="1" t="s">
        <v>4756</v>
      </c>
      <c r="AH2318" s="2">
        <v>45013</v>
      </c>
      <c r="AI2318" s="2">
        <v>45291</v>
      </c>
      <c r="AJ2318" s="2">
        <v>45013</v>
      </c>
    </row>
    <row r="2319" spans="1:36">
      <c r="A2319" s="1" t="str">
        <f>"ZE03A919BD"</f>
        <v>ZE03A919BD</v>
      </c>
      <c r="B2319" s="1" t="str">
        <f t="shared" si="56"/>
        <v>02406911202</v>
      </c>
      <c r="C2319" s="1" t="s">
        <v>13</v>
      </c>
      <c r="D2319" s="1" t="s">
        <v>1257</v>
      </c>
      <c r="E2319" s="1" t="s">
        <v>4757</v>
      </c>
      <c r="F2319" s="1" t="s">
        <v>49</v>
      </c>
      <c r="G2319" s="1" t="str">
        <f>"05424020963"</f>
        <v>05424020963</v>
      </c>
      <c r="I2319" s="1" t="s">
        <v>1995</v>
      </c>
      <c r="L2319" s="1" t="s">
        <v>44</v>
      </c>
      <c r="M2319" s="1" t="s">
        <v>2801</v>
      </c>
      <c r="AG2319" s="1" t="s">
        <v>124</v>
      </c>
      <c r="AH2319" s="2">
        <v>45013</v>
      </c>
      <c r="AI2319" s="2">
        <v>45014</v>
      </c>
      <c r="AJ2319" s="2">
        <v>45013</v>
      </c>
    </row>
    <row r="2320" spans="1:36">
      <c r="A2320" s="1" t="str">
        <f>"Z493A4391A"</f>
        <v>Z493A4391A</v>
      </c>
      <c r="B2320" s="1" t="str">
        <f t="shared" si="56"/>
        <v>02406911202</v>
      </c>
      <c r="C2320" s="1" t="s">
        <v>13</v>
      </c>
      <c r="D2320" s="1" t="s">
        <v>1741</v>
      </c>
      <c r="E2320" s="1" t="s">
        <v>4758</v>
      </c>
      <c r="F2320" s="1" t="s">
        <v>39</v>
      </c>
      <c r="G2320" s="1" t="str">
        <f>"01486330309"</f>
        <v>01486330309</v>
      </c>
      <c r="I2320" s="1" t="s">
        <v>2134</v>
      </c>
      <c r="L2320" s="1" t="s">
        <v>44</v>
      </c>
      <c r="M2320" s="1" t="s">
        <v>4759</v>
      </c>
      <c r="AG2320" s="1" t="s">
        <v>4759</v>
      </c>
      <c r="AH2320" s="2">
        <v>44992</v>
      </c>
      <c r="AI2320" s="2">
        <v>45291</v>
      </c>
      <c r="AJ2320" s="2">
        <v>44992</v>
      </c>
    </row>
    <row r="2321" spans="1:36">
      <c r="A2321" s="1" t="str">
        <f>"Z493A4391A"</f>
        <v>Z493A4391A</v>
      </c>
      <c r="B2321" s="1" t="str">
        <f t="shared" si="56"/>
        <v>02406911202</v>
      </c>
      <c r="C2321" s="1" t="s">
        <v>13</v>
      </c>
      <c r="D2321" s="1" t="s">
        <v>1741</v>
      </c>
      <c r="E2321" s="1" t="s">
        <v>4758</v>
      </c>
      <c r="F2321" s="1" t="s">
        <v>39</v>
      </c>
      <c r="G2321" s="1" t="str">
        <f>"01813500541"</f>
        <v>01813500541</v>
      </c>
      <c r="I2321" s="1" t="s">
        <v>2137</v>
      </c>
      <c r="L2321" s="1" t="s">
        <v>41</v>
      </c>
      <c r="AJ2321" s="2">
        <v>44992</v>
      </c>
    </row>
    <row r="2322" spans="1:36">
      <c r="A2322" s="1" t="str">
        <f>"Z493A4391A"</f>
        <v>Z493A4391A</v>
      </c>
      <c r="B2322" s="1" t="str">
        <f t="shared" si="56"/>
        <v>02406911202</v>
      </c>
      <c r="C2322" s="1" t="s">
        <v>13</v>
      </c>
      <c r="D2322" s="1" t="s">
        <v>1741</v>
      </c>
      <c r="E2322" s="1" t="s">
        <v>4758</v>
      </c>
      <c r="F2322" s="1" t="s">
        <v>39</v>
      </c>
      <c r="G2322" s="1" t="str">
        <f>"03359340837"</f>
        <v>03359340837</v>
      </c>
      <c r="I2322" s="1" t="s">
        <v>1881</v>
      </c>
      <c r="L2322" s="1" t="s">
        <v>41</v>
      </c>
      <c r="AJ2322" s="2">
        <v>44992</v>
      </c>
    </row>
    <row r="2323" spans="1:36">
      <c r="A2323" s="1" t="str">
        <f>"Z493A4391A"</f>
        <v>Z493A4391A</v>
      </c>
      <c r="B2323" s="1" t="str">
        <f t="shared" si="56"/>
        <v>02406911202</v>
      </c>
      <c r="C2323" s="1" t="s">
        <v>13</v>
      </c>
      <c r="D2323" s="1" t="s">
        <v>1741</v>
      </c>
      <c r="E2323" s="1" t="s">
        <v>4758</v>
      </c>
      <c r="F2323" s="1" t="s">
        <v>39</v>
      </c>
      <c r="G2323" s="1" t="str">
        <f>"00740430335"</f>
        <v>00740430335</v>
      </c>
      <c r="I2323" s="1" t="s">
        <v>1888</v>
      </c>
      <c r="L2323" s="1" t="s">
        <v>41</v>
      </c>
      <c r="AJ2323" s="2">
        <v>44992</v>
      </c>
    </row>
    <row r="2324" spans="1:36">
      <c r="A2324" s="1" t="str">
        <f>"97364661EC"</f>
        <v>97364661EC</v>
      </c>
      <c r="B2324" s="1" t="str">
        <f t="shared" si="56"/>
        <v>02406911202</v>
      </c>
      <c r="C2324" s="1" t="s">
        <v>13</v>
      </c>
      <c r="D2324" s="1" t="s">
        <v>1253</v>
      </c>
      <c r="E2324" s="1" t="s">
        <v>1260</v>
      </c>
      <c r="F2324" s="1" t="s">
        <v>49</v>
      </c>
      <c r="G2324" s="1" t="str">
        <f>"04529970404"</f>
        <v>04529970404</v>
      </c>
      <c r="I2324" s="1" t="s">
        <v>3951</v>
      </c>
      <c r="L2324" s="1" t="s">
        <v>44</v>
      </c>
      <c r="M2324" s="1" t="s">
        <v>2739</v>
      </c>
      <c r="AG2324" s="1" t="s">
        <v>4760</v>
      </c>
      <c r="AH2324" s="2">
        <v>45020</v>
      </c>
      <c r="AI2324" s="2">
        <v>45291</v>
      </c>
      <c r="AJ2324" s="2">
        <v>45020</v>
      </c>
    </row>
    <row r="2325" spans="1:36">
      <c r="A2325" s="1" t="str">
        <f>"ZC63AE6A7C"</f>
        <v>ZC63AE6A7C</v>
      </c>
      <c r="B2325" s="1" t="str">
        <f t="shared" si="56"/>
        <v>02406911202</v>
      </c>
      <c r="C2325" s="1" t="s">
        <v>13</v>
      </c>
      <c r="D2325" s="1" t="s">
        <v>1253</v>
      </c>
      <c r="E2325" s="1" t="s">
        <v>3821</v>
      </c>
      <c r="F2325" s="1" t="s">
        <v>49</v>
      </c>
      <c r="G2325" s="1" t="str">
        <f>"05908740961"</f>
        <v>05908740961</v>
      </c>
      <c r="I2325" s="1" t="s">
        <v>603</v>
      </c>
      <c r="L2325" s="1" t="s">
        <v>44</v>
      </c>
      <c r="M2325" s="1" t="s">
        <v>1255</v>
      </c>
      <c r="AG2325" s="1" t="s">
        <v>4761</v>
      </c>
      <c r="AH2325" s="2">
        <v>45040</v>
      </c>
      <c r="AI2325" s="2">
        <v>45291</v>
      </c>
      <c r="AJ2325" s="2">
        <v>45040</v>
      </c>
    </row>
    <row r="2326" spans="1:36">
      <c r="A2326" s="1" t="str">
        <f>"ZA83AD5E93"</f>
        <v>ZA83AD5E93</v>
      </c>
      <c r="B2326" s="1" t="str">
        <f t="shared" si="56"/>
        <v>02406911202</v>
      </c>
      <c r="C2326" s="1" t="s">
        <v>13</v>
      </c>
      <c r="D2326" s="1" t="s">
        <v>1253</v>
      </c>
      <c r="E2326" s="1" t="s">
        <v>1317</v>
      </c>
      <c r="F2326" s="1" t="s">
        <v>49</v>
      </c>
      <c r="G2326" s="1" t="str">
        <f>"02173550282"</f>
        <v>02173550282</v>
      </c>
      <c r="I2326" s="1" t="s">
        <v>634</v>
      </c>
      <c r="L2326" s="1" t="s">
        <v>44</v>
      </c>
      <c r="M2326" s="1" t="s">
        <v>1255</v>
      </c>
      <c r="AG2326" s="1" t="s">
        <v>4762</v>
      </c>
      <c r="AH2326" s="2">
        <v>45040</v>
      </c>
      <c r="AI2326" s="2">
        <v>45291</v>
      </c>
      <c r="AJ2326" s="2">
        <v>45040</v>
      </c>
    </row>
    <row r="2327" spans="1:36">
      <c r="A2327" s="1" t="str">
        <f>"Z813BC0CFC"</f>
        <v>Z813BC0CFC</v>
      </c>
      <c r="B2327" s="1" t="str">
        <f t="shared" si="56"/>
        <v>02406911202</v>
      </c>
      <c r="C2327" s="1" t="s">
        <v>13</v>
      </c>
      <c r="D2327" s="1" t="s">
        <v>1253</v>
      </c>
      <c r="E2327" s="1" t="s">
        <v>1262</v>
      </c>
      <c r="F2327" s="1" t="s">
        <v>49</v>
      </c>
      <c r="G2327" s="1" t="str">
        <f>"00426150488"</f>
        <v>00426150488</v>
      </c>
      <c r="I2327" s="1" t="s">
        <v>2168</v>
      </c>
      <c r="L2327" s="1" t="s">
        <v>44</v>
      </c>
      <c r="M2327" s="1" t="s">
        <v>1255</v>
      </c>
      <c r="AG2327" s="1" t="s">
        <v>4763</v>
      </c>
      <c r="AH2327" s="2">
        <v>45107</v>
      </c>
      <c r="AI2327" s="2">
        <v>45291</v>
      </c>
      <c r="AJ2327" s="2">
        <v>45107</v>
      </c>
    </row>
    <row r="2328" spans="1:36">
      <c r="A2328" s="1" t="str">
        <f>"Z513BA9546"</f>
        <v>Z513BA9546</v>
      </c>
      <c r="B2328" s="1" t="str">
        <f t="shared" si="56"/>
        <v>02406911202</v>
      </c>
      <c r="C2328" s="1" t="s">
        <v>13</v>
      </c>
      <c r="D2328" s="1" t="s">
        <v>37</v>
      </c>
      <c r="E2328" s="1" t="s">
        <v>4764</v>
      </c>
      <c r="F2328" s="1" t="s">
        <v>117</v>
      </c>
      <c r="G2328" s="1" t="str">
        <f>"02645920592"</f>
        <v>02645920592</v>
      </c>
      <c r="I2328" s="1" t="s">
        <v>2919</v>
      </c>
      <c r="L2328" s="1" t="s">
        <v>44</v>
      </c>
      <c r="M2328" s="1" t="s">
        <v>4765</v>
      </c>
      <c r="AG2328" s="1" t="s">
        <v>124</v>
      </c>
      <c r="AH2328" s="2">
        <v>45105</v>
      </c>
      <c r="AI2328" s="2">
        <v>46022</v>
      </c>
      <c r="AJ2328" s="2">
        <v>45105</v>
      </c>
    </row>
    <row r="2329" spans="1:36">
      <c r="A2329" s="1" t="str">
        <f>"Z6E3BA9735"</f>
        <v>Z6E3BA9735</v>
      </c>
      <c r="B2329" s="1" t="str">
        <f t="shared" si="56"/>
        <v>02406911202</v>
      </c>
      <c r="C2329" s="1" t="s">
        <v>13</v>
      </c>
      <c r="D2329" s="1" t="s">
        <v>37</v>
      </c>
      <c r="E2329" s="1" t="s">
        <v>4766</v>
      </c>
      <c r="F2329" s="1" t="s">
        <v>117</v>
      </c>
      <c r="G2329" s="1" t="str">
        <f>"01286700487"</f>
        <v>01286700487</v>
      </c>
      <c r="I2329" s="1" t="s">
        <v>1572</v>
      </c>
      <c r="L2329" s="1" t="s">
        <v>44</v>
      </c>
      <c r="M2329" s="1" t="s">
        <v>4767</v>
      </c>
      <c r="AG2329" s="1" t="s">
        <v>4768</v>
      </c>
      <c r="AH2329" s="2">
        <v>45105</v>
      </c>
      <c r="AI2329" s="2">
        <v>46022</v>
      </c>
      <c r="AJ2329" s="2">
        <v>45105</v>
      </c>
    </row>
    <row r="2330" spans="1:36">
      <c r="A2330" s="1" t="str">
        <f>"Z103BA975D"</f>
        <v>Z103BA975D</v>
      </c>
      <c r="B2330" s="1" t="str">
        <f t="shared" si="56"/>
        <v>02406911202</v>
      </c>
      <c r="C2330" s="1" t="s">
        <v>13</v>
      </c>
      <c r="D2330" s="1" t="s">
        <v>37</v>
      </c>
      <c r="E2330" s="1" t="s">
        <v>4769</v>
      </c>
      <c r="F2330" s="1" t="s">
        <v>117</v>
      </c>
      <c r="G2330" s="1" t="str">
        <f>"11008200153"</f>
        <v>11008200153</v>
      </c>
      <c r="I2330" s="1" t="s">
        <v>2061</v>
      </c>
      <c r="L2330" s="1" t="s">
        <v>44</v>
      </c>
      <c r="M2330" s="1" t="s">
        <v>4770</v>
      </c>
      <c r="AG2330" s="1" t="s">
        <v>124</v>
      </c>
      <c r="AH2330" s="2">
        <v>45105</v>
      </c>
      <c r="AI2330" s="2">
        <v>46022</v>
      </c>
      <c r="AJ2330" s="2">
        <v>45105</v>
      </c>
    </row>
    <row r="2331" spans="1:36">
      <c r="A2331" s="1" t="str">
        <f>"ZE43BA90C6"</f>
        <v>ZE43BA90C6</v>
      </c>
      <c r="B2331" s="1" t="str">
        <f t="shared" si="56"/>
        <v>02406911202</v>
      </c>
      <c r="C2331" s="1" t="s">
        <v>13</v>
      </c>
      <c r="D2331" s="1" t="s">
        <v>1253</v>
      </c>
      <c r="E2331" s="1" t="s">
        <v>1317</v>
      </c>
      <c r="F2331" s="1" t="s">
        <v>49</v>
      </c>
      <c r="G2331" s="1" t="str">
        <f>"01737830230"</f>
        <v>01737830230</v>
      </c>
      <c r="I2331" s="1" t="s">
        <v>1696</v>
      </c>
      <c r="L2331" s="1" t="s">
        <v>44</v>
      </c>
      <c r="M2331" s="1" t="s">
        <v>1255</v>
      </c>
      <c r="AG2331" s="1" t="s">
        <v>1256</v>
      </c>
      <c r="AH2331" s="2">
        <v>45107</v>
      </c>
      <c r="AI2331" s="2">
        <v>45291</v>
      </c>
      <c r="AJ2331" s="2">
        <v>45107</v>
      </c>
    </row>
    <row r="2332" spans="1:36">
      <c r="A2332" s="1" t="str">
        <f>"Z2A3BC0F07"</f>
        <v>Z2A3BC0F07</v>
      </c>
      <c r="B2332" s="1" t="str">
        <f t="shared" si="56"/>
        <v>02406911202</v>
      </c>
      <c r="C2332" s="1" t="s">
        <v>13</v>
      </c>
      <c r="D2332" s="1" t="s">
        <v>1253</v>
      </c>
      <c r="E2332" s="1" t="s">
        <v>1317</v>
      </c>
      <c r="F2332" s="1" t="s">
        <v>49</v>
      </c>
      <c r="G2332" s="1" t="str">
        <f>"01737830230"</f>
        <v>01737830230</v>
      </c>
      <c r="I2332" s="1" t="s">
        <v>1696</v>
      </c>
      <c r="L2332" s="1" t="s">
        <v>44</v>
      </c>
      <c r="M2332" s="1" t="s">
        <v>1255</v>
      </c>
      <c r="AG2332" s="1" t="s">
        <v>4771</v>
      </c>
      <c r="AH2332" s="2">
        <v>45107</v>
      </c>
      <c r="AI2332" s="2">
        <v>45291</v>
      </c>
      <c r="AJ2332" s="2">
        <v>45107</v>
      </c>
    </row>
    <row r="2333" spans="1:36">
      <c r="A2333" s="1" t="str">
        <f>"Z423AC4138"</f>
        <v>Z423AC4138</v>
      </c>
      <c r="B2333" s="1" t="str">
        <f t="shared" si="56"/>
        <v>02406911202</v>
      </c>
      <c r="C2333" s="1" t="s">
        <v>13</v>
      </c>
      <c r="D2333" s="1" t="s">
        <v>1253</v>
      </c>
      <c r="E2333" s="1" t="s">
        <v>1254</v>
      </c>
      <c r="F2333" s="1" t="s">
        <v>49</v>
      </c>
      <c r="G2333" s="1" t="str">
        <f>"01177620299"</f>
        <v>01177620299</v>
      </c>
      <c r="I2333" s="1" t="s">
        <v>1609</v>
      </c>
      <c r="L2333" s="1" t="s">
        <v>44</v>
      </c>
      <c r="M2333" s="1" t="s">
        <v>1255</v>
      </c>
      <c r="AG2333" s="1" t="s">
        <v>4772</v>
      </c>
      <c r="AH2333" s="2">
        <v>45029</v>
      </c>
      <c r="AI2333" s="2">
        <v>45291</v>
      </c>
      <c r="AJ2333" s="2">
        <v>45029</v>
      </c>
    </row>
    <row r="2334" spans="1:36">
      <c r="A2334" s="1" t="str">
        <f>"9628502B33"</f>
        <v>9628502B33</v>
      </c>
      <c r="B2334" s="1" t="str">
        <f t="shared" si="56"/>
        <v>02406911202</v>
      </c>
      <c r="C2334" s="1" t="s">
        <v>13</v>
      </c>
      <c r="D2334" s="1" t="s">
        <v>37</v>
      </c>
      <c r="E2334" s="1" t="s">
        <v>4773</v>
      </c>
      <c r="F2334" s="1" t="s">
        <v>117</v>
      </c>
      <c r="G2334" s="1" t="str">
        <f>"11129270150"</f>
        <v>11129270150</v>
      </c>
      <c r="I2334" s="1" t="s">
        <v>4580</v>
      </c>
      <c r="L2334" s="1" t="s">
        <v>44</v>
      </c>
      <c r="M2334" s="1" t="s">
        <v>4774</v>
      </c>
      <c r="AG2334" s="1" t="s">
        <v>4775</v>
      </c>
      <c r="AH2334" s="2">
        <v>44957</v>
      </c>
      <c r="AI2334" s="2">
        <v>45309</v>
      </c>
      <c r="AJ2334" s="2">
        <v>44957</v>
      </c>
    </row>
    <row r="2335" spans="1:36">
      <c r="A2335" s="1" t="str">
        <f>"ZD639B70A7"</f>
        <v>ZD639B70A7</v>
      </c>
      <c r="B2335" s="1" t="str">
        <f t="shared" si="56"/>
        <v>02406911202</v>
      </c>
      <c r="C2335" s="1" t="s">
        <v>13</v>
      </c>
      <c r="D2335" s="1" t="s">
        <v>37</v>
      </c>
      <c r="E2335" s="1" t="s">
        <v>4776</v>
      </c>
      <c r="F2335" s="1" t="s">
        <v>117</v>
      </c>
      <c r="G2335" s="1" t="str">
        <f>"11129270150"</f>
        <v>11129270150</v>
      </c>
      <c r="I2335" s="1" t="s">
        <v>4580</v>
      </c>
      <c r="L2335" s="1" t="s">
        <v>44</v>
      </c>
      <c r="M2335" s="1" t="s">
        <v>4777</v>
      </c>
      <c r="AG2335" s="1" t="s">
        <v>124</v>
      </c>
      <c r="AH2335" s="2">
        <v>44957</v>
      </c>
      <c r="AI2335" s="2">
        <v>45309</v>
      </c>
      <c r="AJ2335" s="2">
        <v>44957</v>
      </c>
    </row>
    <row r="2336" spans="1:36">
      <c r="A2336" s="1" t="str">
        <f>"Z1439B7731"</f>
        <v>Z1439B7731</v>
      </c>
      <c r="B2336" s="1" t="str">
        <f t="shared" si="56"/>
        <v>02406911202</v>
      </c>
      <c r="C2336" s="1" t="s">
        <v>13</v>
      </c>
      <c r="D2336" s="1" t="s">
        <v>37</v>
      </c>
      <c r="E2336" s="1" t="s">
        <v>4778</v>
      </c>
      <c r="F2336" s="1" t="s">
        <v>117</v>
      </c>
      <c r="G2336" s="1" t="str">
        <f>"03578710729"</f>
        <v>03578710729</v>
      </c>
      <c r="I2336" s="1" t="s">
        <v>4078</v>
      </c>
      <c r="L2336" s="1" t="s">
        <v>44</v>
      </c>
      <c r="M2336" s="1" t="s">
        <v>4779</v>
      </c>
      <c r="AG2336" s="1" t="s">
        <v>4780</v>
      </c>
      <c r="AH2336" s="2">
        <v>44957</v>
      </c>
      <c r="AI2336" s="2">
        <v>45309</v>
      </c>
      <c r="AJ2336" s="2">
        <v>44957</v>
      </c>
    </row>
    <row r="2337" spans="1:36">
      <c r="A2337" s="1" t="str">
        <f>"ZCE39B784D"</f>
        <v>ZCE39B784D</v>
      </c>
      <c r="B2337" s="1" t="str">
        <f t="shared" si="56"/>
        <v>02406911202</v>
      </c>
      <c r="C2337" s="1" t="s">
        <v>13</v>
      </c>
      <c r="D2337" s="1" t="s">
        <v>37</v>
      </c>
      <c r="E2337" s="1" t="s">
        <v>4781</v>
      </c>
      <c r="F2337" s="1" t="s">
        <v>117</v>
      </c>
      <c r="G2337" s="1" t="str">
        <f>"00503151201"</f>
        <v>00503151201</v>
      </c>
      <c r="I2337" s="1" t="s">
        <v>2329</v>
      </c>
      <c r="L2337" s="1" t="s">
        <v>44</v>
      </c>
      <c r="M2337" s="1" t="s">
        <v>4782</v>
      </c>
      <c r="AG2337" s="1" t="s">
        <v>4783</v>
      </c>
      <c r="AH2337" s="2">
        <v>44957</v>
      </c>
      <c r="AI2337" s="2">
        <v>45309</v>
      </c>
      <c r="AJ2337" s="2">
        <v>44957</v>
      </c>
    </row>
    <row r="2338" spans="1:36">
      <c r="A2338" s="1" t="str">
        <f>"962857469F"</f>
        <v>962857469F</v>
      </c>
      <c r="B2338" s="1" t="str">
        <f t="shared" si="56"/>
        <v>02406911202</v>
      </c>
      <c r="C2338" s="1" t="s">
        <v>13</v>
      </c>
      <c r="D2338" s="1" t="s">
        <v>37</v>
      </c>
      <c r="E2338" s="1" t="s">
        <v>4784</v>
      </c>
      <c r="F2338" s="1" t="s">
        <v>117</v>
      </c>
      <c r="G2338" s="1" t="str">
        <f>"00503151201"</f>
        <v>00503151201</v>
      </c>
      <c r="I2338" s="1" t="s">
        <v>2329</v>
      </c>
      <c r="L2338" s="1" t="s">
        <v>44</v>
      </c>
      <c r="M2338" s="1" t="s">
        <v>4785</v>
      </c>
      <c r="AG2338" s="1" t="s">
        <v>4786</v>
      </c>
      <c r="AH2338" s="2">
        <v>44957</v>
      </c>
      <c r="AI2338" s="2">
        <v>45309</v>
      </c>
      <c r="AJ2338" s="2">
        <v>44957</v>
      </c>
    </row>
    <row r="2339" spans="1:36">
      <c r="A2339" s="1" t="str">
        <f>"Z5539B7906"</f>
        <v>Z5539B7906</v>
      </c>
      <c r="B2339" s="1" t="str">
        <f t="shared" si="56"/>
        <v>02406911202</v>
      </c>
      <c r="C2339" s="1" t="s">
        <v>13</v>
      </c>
      <c r="D2339" s="1" t="s">
        <v>37</v>
      </c>
      <c r="E2339" s="1" t="s">
        <v>4787</v>
      </c>
      <c r="F2339" s="1" t="s">
        <v>117</v>
      </c>
      <c r="G2339" s="1" t="str">
        <f>"05060260154"</f>
        <v>05060260154</v>
      </c>
      <c r="I2339" s="1" t="s">
        <v>4788</v>
      </c>
      <c r="L2339" s="1" t="s">
        <v>44</v>
      </c>
      <c r="M2339" s="1" t="s">
        <v>4789</v>
      </c>
      <c r="AG2339" s="1" t="s">
        <v>4790</v>
      </c>
      <c r="AH2339" s="2">
        <v>44957</v>
      </c>
      <c r="AI2339" s="2">
        <v>45309</v>
      </c>
      <c r="AJ2339" s="2">
        <v>44957</v>
      </c>
    </row>
    <row r="2340" spans="1:36">
      <c r="A2340" s="1" t="str">
        <f>"Z9C39B7988"</f>
        <v>Z9C39B7988</v>
      </c>
      <c r="B2340" s="1" t="str">
        <f t="shared" si="56"/>
        <v>02406911202</v>
      </c>
      <c r="C2340" s="1" t="s">
        <v>13</v>
      </c>
      <c r="D2340" s="1" t="s">
        <v>37</v>
      </c>
      <c r="E2340" s="1" t="s">
        <v>4791</v>
      </c>
      <c r="F2340" s="1" t="s">
        <v>117</v>
      </c>
      <c r="G2340" s="1" t="str">
        <f>"05060260154"</f>
        <v>05060260154</v>
      </c>
      <c r="I2340" s="1" t="s">
        <v>4788</v>
      </c>
      <c r="L2340" s="1" t="s">
        <v>44</v>
      </c>
      <c r="M2340" s="1" t="s">
        <v>3549</v>
      </c>
      <c r="AG2340" s="1" t="s">
        <v>4792</v>
      </c>
      <c r="AH2340" s="2">
        <v>44957</v>
      </c>
      <c r="AI2340" s="2">
        <v>45309</v>
      </c>
      <c r="AJ2340" s="2">
        <v>44957</v>
      </c>
    </row>
    <row r="2341" spans="1:36">
      <c r="A2341" s="1" t="str">
        <f>"9628604F5E"</f>
        <v>9628604F5E</v>
      </c>
      <c r="B2341" s="1" t="str">
        <f t="shared" si="56"/>
        <v>02406911202</v>
      </c>
      <c r="C2341" s="1" t="s">
        <v>13</v>
      </c>
      <c r="D2341" s="1" t="s">
        <v>37</v>
      </c>
      <c r="E2341" s="1" t="s">
        <v>4793</v>
      </c>
      <c r="F2341" s="1" t="s">
        <v>117</v>
      </c>
      <c r="G2341" s="1" t="str">
        <f>"05060260154"</f>
        <v>05060260154</v>
      </c>
      <c r="I2341" s="1" t="s">
        <v>4788</v>
      </c>
      <c r="L2341" s="1" t="s">
        <v>44</v>
      </c>
      <c r="M2341" s="1" t="s">
        <v>4794</v>
      </c>
      <c r="AG2341" s="1" t="s">
        <v>4795</v>
      </c>
      <c r="AH2341" s="2">
        <v>44957</v>
      </c>
      <c r="AI2341" s="2">
        <v>45309</v>
      </c>
      <c r="AJ2341" s="2">
        <v>44957</v>
      </c>
    </row>
    <row r="2342" spans="1:36">
      <c r="A2342" s="1" t="str">
        <f>"Z593AE698A"</f>
        <v>Z593AE698A</v>
      </c>
      <c r="B2342" s="1" t="str">
        <f t="shared" si="56"/>
        <v>02406911202</v>
      </c>
      <c r="C2342" s="1" t="s">
        <v>13</v>
      </c>
      <c r="D2342" s="1" t="s">
        <v>1253</v>
      </c>
      <c r="E2342" s="1" t="s">
        <v>1260</v>
      </c>
      <c r="F2342" s="1" t="s">
        <v>49</v>
      </c>
      <c r="G2342" s="1" t="str">
        <f>"06032681006"</f>
        <v>06032681006</v>
      </c>
      <c r="I2342" s="1" t="s">
        <v>1351</v>
      </c>
      <c r="L2342" s="1" t="s">
        <v>44</v>
      </c>
      <c r="M2342" s="1" t="s">
        <v>1255</v>
      </c>
      <c r="AG2342" s="1" t="s">
        <v>4796</v>
      </c>
      <c r="AH2342" s="2">
        <v>45040</v>
      </c>
      <c r="AI2342" s="2">
        <v>45291</v>
      </c>
      <c r="AJ2342" s="2">
        <v>45040</v>
      </c>
    </row>
    <row r="2343" spans="1:36">
      <c r="A2343" s="1" t="str">
        <f>"9733572DB4"</f>
        <v>9733572DB4</v>
      </c>
      <c r="B2343" s="1" t="str">
        <f t="shared" si="56"/>
        <v>02406911202</v>
      </c>
      <c r="C2343" s="1" t="s">
        <v>13</v>
      </c>
      <c r="D2343" s="1" t="s">
        <v>37</v>
      </c>
      <c r="E2343" s="1" t="s">
        <v>4797</v>
      </c>
      <c r="F2343" s="1" t="s">
        <v>117</v>
      </c>
      <c r="G2343" s="1" t="str">
        <f>"02908570043"</f>
        <v>02908570043</v>
      </c>
      <c r="I2343" s="1" t="s">
        <v>4798</v>
      </c>
      <c r="L2343" s="1" t="s">
        <v>44</v>
      </c>
      <c r="M2343" s="1" t="s">
        <v>4799</v>
      </c>
      <c r="AG2343" s="1" t="s">
        <v>4800</v>
      </c>
      <c r="AH2343" s="2">
        <v>45017</v>
      </c>
      <c r="AI2343" s="2">
        <v>46022</v>
      </c>
      <c r="AJ2343" s="2">
        <v>45017</v>
      </c>
    </row>
    <row r="2344" spans="1:36">
      <c r="A2344" s="1" t="str">
        <f>"Z903AFB609"</f>
        <v>Z903AFB609</v>
      </c>
      <c r="B2344" s="1" t="str">
        <f t="shared" si="56"/>
        <v>02406911202</v>
      </c>
      <c r="C2344" s="1" t="s">
        <v>13</v>
      </c>
      <c r="D2344" s="1" t="s">
        <v>1312</v>
      </c>
      <c r="E2344" s="1" t="s">
        <v>4801</v>
      </c>
      <c r="F2344" s="1" t="s">
        <v>49</v>
      </c>
      <c r="G2344" s="1" t="str">
        <f>"00197370281"</f>
        <v>00197370281</v>
      </c>
      <c r="I2344" s="1" t="s">
        <v>1299</v>
      </c>
      <c r="L2344" s="1" t="s">
        <v>44</v>
      </c>
      <c r="M2344" s="1" t="s">
        <v>1735</v>
      </c>
      <c r="AG2344" s="1" t="s">
        <v>4802</v>
      </c>
      <c r="AH2344" s="2">
        <v>45049</v>
      </c>
      <c r="AI2344" s="2">
        <v>45291</v>
      </c>
      <c r="AJ2344" s="2">
        <v>45049</v>
      </c>
    </row>
    <row r="2345" spans="1:36">
      <c r="A2345" s="1" t="str">
        <f>"Z763B5FBE6"</f>
        <v>Z763B5FBE6</v>
      </c>
      <c r="B2345" s="1" t="str">
        <f t="shared" si="56"/>
        <v>02406911202</v>
      </c>
      <c r="C2345" s="1" t="s">
        <v>13</v>
      </c>
      <c r="D2345" s="1" t="s">
        <v>1741</v>
      </c>
      <c r="E2345" s="1" t="s">
        <v>4803</v>
      </c>
      <c r="F2345" s="1" t="s">
        <v>49</v>
      </c>
      <c r="G2345" s="1" t="str">
        <f>"01408650511"</f>
        <v>01408650511</v>
      </c>
      <c r="I2345" s="1" t="s">
        <v>4804</v>
      </c>
      <c r="L2345" s="1" t="s">
        <v>44</v>
      </c>
      <c r="M2345" s="1" t="s">
        <v>4805</v>
      </c>
      <c r="AG2345" s="1" t="s">
        <v>4805</v>
      </c>
      <c r="AH2345" s="2">
        <v>45076</v>
      </c>
      <c r="AI2345" s="2">
        <v>45291</v>
      </c>
      <c r="AJ2345" s="2">
        <v>45076</v>
      </c>
    </row>
    <row r="2346" spans="1:36">
      <c r="A2346" s="1" t="str">
        <f>"Z233B74293"</f>
        <v>Z233B74293</v>
      </c>
      <c r="B2346" s="1" t="str">
        <f t="shared" si="56"/>
        <v>02406911202</v>
      </c>
      <c r="C2346" s="1" t="s">
        <v>13</v>
      </c>
      <c r="D2346" s="1" t="s">
        <v>1312</v>
      </c>
      <c r="E2346" s="1" t="s">
        <v>4806</v>
      </c>
      <c r="F2346" s="1" t="s">
        <v>49</v>
      </c>
      <c r="G2346" s="1" t="str">
        <f>"00501611206"</f>
        <v>00501611206</v>
      </c>
      <c r="I2346" s="1" t="s">
        <v>4807</v>
      </c>
      <c r="L2346" s="1" t="s">
        <v>44</v>
      </c>
      <c r="M2346" s="1" t="s">
        <v>1735</v>
      </c>
      <c r="AG2346" s="1" t="s">
        <v>4808</v>
      </c>
      <c r="AH2346" s="2">
        <v>45078</v>
      </c>
      <c r="AI2346" s="2">
        <v>45291</v>
      </c>
      <c r="AJ2346" s="2">
        <v>45078</v>
      </c>
    </row>
    <row r="2347" spans="1:36">
      <c r="A2347" s="1" t="str">
        <f>"ZA93BA908F"</f>
        <v>ZA93BA908F</v>
      </c>
      <c r="B2347" s="1" t="str">
        <f t="shared" si="56"/>
        <v>02406911202</v>
      </c>
      <c r="C2347" s="1" t="s">
        <v>13</v>
      </c>
      <c r="D2347" s="1" t="s">
        <v>1253</v>
      </c>
      <c r="E2347" s="1" t="s">
        <v>1317</v>
      </c>
      <c r="F2347" s="1" t="s">
        <v>49</v>
      </c>
      <c r="G2347" s="1" t="str">
        <f>"02944970348"</f>
        <v>02944970348</v>
      </c>
      <c r="I2347" s="1" t="s">
        <v>766</v>
      </c>
      <c r="L2347" s="1" t="s">
        <v>44</v>
      </c>
      <c r="M2347" s="1" t="s">
        <v>1255</v>
      </c>
      <c r="AG2347" s="1" t="s">
        <v>4809</v>
      </c>
      <c r="AH2347" s="2">
        <v>45105</v>
      </c>
      <c r="AI2347" s="2">
        <v>45291</v>
      </c>
      <c r="AJ2347" s="2">
        <v>45105</v>
      </c>
    </row>
    <row r="2348" spans="1:36">
      <c r="A2348" s="1" t="str">
        <f>"ZCE3BB8DB0"</f>
        <v>ZCE3BB8DB0</v>
      </c>
      <c r="B2348" s="1" t="str">
        <f t="shared" si="56"/>
        <v>02406911202</v>
      </c>
      <c r="C2348" s="1" t="s">
        <v>13</v>
      </c>
      <c r="D2348" s="1" t="s">
        <v>1253</v>
      </c>
      <c r="E2348" s="1" t="s">
        <v>1260</v>
      </c>
      <c r="F2348" s="1" t="s">
        <v>49</v>
      </c>
      <c r="G2348" s="1" t="str">
        <f>"08976680150"</f>
        <v>08976680150</v>
      </c>
      <c r="I2348" s="1" t="s">
        <v>4273</v>
      </c>
      <c r="L2348" s="1" t="s">
        <v>44</v>
      </c>
      <c r="M2348" s="1" t="s">
        <v>1255</v>
      </c>
      <c r="AG2348" s="1" t="s">
        <v>4810</v>
      </c>
      <c r="AH2348" s="2">
        <v>45105</v>
      </c>
      <c r="AI2348" s="2">
        <v>45291</v>
      </c>
      <c r="AJ2348" s="2">
        <v>45105</v>
      </c>
    </row>
    <row r="2349" spans="1:36">
      <c r="A2349" s="1" t="str">
        <f>"Z3D3BC0F3F"</f>
        <v>Z3D3BC0F3F</v>
      </c>
      <c r="B2349" s="1" t="str">
        <f t="shared" si="56"/>
        <v>02406911202</v>
      </c>
      <c r="C2349" s="1" t="s">
        <v>13</v>
      </c>
      <c r="D2349" s="1" t="s">
        <v>1253</v>
      </c>
      <c r="E2349" s="1" t="s">
        <v>1317</v>
      </c>
      <c r="F2349" s="1" t="s">
        <v>49</v>
      </c>
      <c r="G2349" s="1" t="str">
        <f>"04757530284"</f>
        <v>04757530284</v>
      </c>
      <c r="I2349" s="1" t="s">
        <v>4811</v>
      </c>
      <c r="L2349" s="1" t="s">
        <v>44</v>
      </c>
      <c r="M2349" s="1" t="s">
        <v>1255</v>
      </c>
      <c r="AG2349" s="1" t="s">
        <v>124</v>
      </c>
      <c r="AH2349" s="2">
        <v>45107</v>
      </c>
      <c r="AI2349" s="2">
        <v>45291</v>
      </c>
      <c r="AJ2349" s="2">
        <v>45107</v>
      </c>
    </row>
    <row r="2350" spans="1:36">
      <c r="A2350" s="1" t="str">
        <f>"9910360FC6"</f>
        <v>9910360FC6</v>
      </c>
      <c r="B2350" s="1" t="str">
        <f t="shared" si="56"/>
        <v>02406911202</v>
      </c>
      <c r="C2350" s="1" t="s">
        <v>13</v>
      </c>
      <c r="D2350" s="1" t="s">
        <v>37</v>
      </c>
      <c r="E2350" s="1" t="s">
        <v>4812</v>
      </c>
      <c r="F2350" s="1" t="s">
        <v>117</v>
      </c>
      <c r="H2350" s="1" t="str">
        <f>"375530292"</f>
        <v>375530292</v>
      </c>
      <c r="I2350" s="1" t="s">
        <v>2105</v>
      </c>
      <c r="L2350" s="1" t="s">
        <v>44</v>
      </c>
      <c r="M2350" s="1" t="s">
        <v>4813</v>
      </c>
      <c r="AG2350" s="1" t="s">
        <v>4814</v>
      </c>
      <c r="AH2350" s="2">
        <v>45105</v>
      </c>
      <c r="AI2350" s="2">
        <v>46022</v>
      </c>
      <c r="AJ2350" s="2">
        <v>45105</v>
      </c>
    </row>
    <row r="2351" spans="1:36">
      <c r="A2351" s="1" t="str">
        <f>"ZCB3A93C47"</f>
        <v>ZCB3A93C47</v>
      </c>
      <c r="B2351" s="1" t="str">
        <f t="shared" si="56"/>
        <v>02406911202</v>
      </c>
      <c r="C2351" s="1" t="s">
        <v>13</v>
      </c>
      <c r="D2351" s="1" t="s">
        <v>1253</v>
      </c>
      <c r="E2351" s="1" t="s">
        <v>2170</v>
      </c>
      <c r="F2351" s="1" t="s">
        <v>49</v>
      </c>
      <c r="G2351" s="1" t="str">
        <f>"00832400154"</f>
        <v>00832400154</v>
      </c>
      <c r="I2351" s="1" t="s">
        <v>285</v>
      </c>
      <c r="L2351" s="1" t="s">
        <v>44</v>
      </c>
      <c r="M2351" s="1" t="s">
        <v>1255</v>
      </c>
      <c r="AG2351" s="1" t="s">
        <v>4815</v>
      </c>
      <c r="AH2351" s="2">
        <v>45014</v>
      </c>
      <c r="AI2351" s="2">
        <v>45291</v>
      </c>
      <c r="AJ2351" s="2">
        <v>45014</v>
      </c>
    </row>
    <row r="2352" spans="1:36">
      <c r="A2352" s="1" t="str">
        <f>"Z483A99D55"</f>
        <v>Z483A99D55</v>
      </c>
      <c r="B2352" s="1" t="str">
        <f t="shared" si="56"/>
        <v>02406911202</v>
      </c>
      <c r="C2352" s="1" t="s">
        <v>13</v>
      </c>
      <c r="D2352" s="1" t="s">
        <v>1741</v>
      </c>
      <c r="E2352" s="1" t="s">
        <v>4816</v>
      </c>
      <c r="F2352" s="1" t="s">
        <v>49</v>
      </c>
      <c r="G2352" s="1" t="str">
        <f>"02376321200"</f>
        <v>02376321200</v>
      </c>
      <c r="I2352" s="1" t="s">
        <v>1884</v>
      </c>
      <c r="L2352" s="1" t="s">
        <v>44</v>
      </c>
      <c r="M2352" s="1" t="s">
        <v>4759</v>
      </c>
      <c r="AG2352" s="1" t="s">
        <v>4759</v>
      </c>
      <c r="AH2352" s="2">
        <v>45015</v>
      </c>
      <c r="AI2352" s="2">
        <v>45291</v>
      </c>
      <c r="AJ2352" s="2">
        <v>45015</v>
      </c>
    </row>
    <row r="2353" spans="1:36">
      <c r="A2353" s="1" t="str">
        <f>"Z563A9C07B"</f>
        <v>Z563A9C07B</v>
      </c>
      <c r="B2353" s="1" t="str">
        <f t="shared" si="56"/>
        <v>02406911202</v>
      </c>
      <c r="C2353" s="1" t="s">
        <v>13</v>
      </c>
      <c r="D2353" s="1" t="s">
        <v>1253</v>
      </c>
      <c r="E2353" s="1" t="s">
        <v>1270</v>
      </c>
      <c r="F2353" s="1" t="s">
        <v>49</v>
      </c>
      <c r="G2353" s="1" t="str">
        <f>"02705540165"</f>
        <v>02705540165</v>
      </c>
      <c r="I2353" s="1" t="s">
        <v>1268</v>
      </c>
      <c r="L2353" s="1" t="s">
        <v>44</v>
      </c>
      <c r="M2353" s="1" t="s">
        <v>153</v>
      </c>
      <c r="AG2353" s="1" t="s">
        <v>4817</v>
      </c>
      <c r="AH2353" s="2">
        <v>45015</v>
      </c>
      <c r="AI2353" s="2">
        <v>45291</v>
      </c>
      <c r="AJ2353" s="2">
        <v>45015</v>
      </c>
    </row>
    <row r="2354" spans="1:36">
      <c r="A2354" s="1" t="str">
        <f>"Z303A85D1D"</f>
        <v>Z303A85D1D</v>
      </c>
      <c r="B2354" s="1" t="str">
        <f t="shared" si="56"/>
        <v>02406911202</v>
      </c>
      <c r="C2354" s="1" t="s">
        <v>13</v>
      </c>
      <c r="D2354" s="1" t="s">
        <v>37</v>
      </c>
      <c r="E2354" s="1" t="s">
        <v>4818</v>
      </c>
      <c r="F2354" s="1" t="s">
        <v>39</v>
      </c>
      <c r="G2354" s="1" t="str">
        <f>"13144290155"</f>
        <v>13144290155</v>
      </c>
      <c r="I2354" s="1" t="s">
        <v>130</v>
      </c>
      <c r="L2354" s="1" t="s">
        <v>44</v>
      </c>
      <c r="M2354" s="1" t="s">
        <v>4819</v>
      </c>
      <c r="AG2354" s="1" t="s">
        <v>4820</v>
      </c>
      <c r="AH2354" s="2">
        <v>45017</v>
      </c>
      <c r="AI2354" s="2">
        <v>45169</v>
      </c>
      <c r="AJ2354" s="2">
        <v>45017</v>
      </c>
    </row>
    <row r="2355" spans="1:36">
      <c r="A2355" s="1" t="str">
        <f>"9747794614"</f>
        <v>9747794614</v>
      </c>
      <c r="B2355" s="1" t="str">
        <f t="shared" si="56"/>
        <v>02406911202</v>
      </c>
      <c r="C2355" s="1" t="s">
        <v>13</v>
      </c>
      <c r="D2355" s="1" t="s">
        <v>1253</v>
      </c>
      <c r="E2355" s="1" t="s">
        <v>4821</v>
      </c>
      <c r="F2355" s="1" t="s">
        <v>49</v>
      </c>
      <c r="G2355" s="1" t="str">
        <f>"00674091202"</f>
        <v>00674091202</v>
      </c>
      <c r="I2355" s="1" t="s">
        <v>4822</v>
      </c>
      <c r="L2355" s="1" t="s">
        <v>44</v>
      </c>
      <c r="M2355" s="1" t="s">
        <v>2739</v>
      </c>
      <c r="AG2355" s="1" t="s">
        <v>4823</v>
      </c>
      <c r="AH2355" s="2">
        <v>45022</v>
      </c>
      <c r="AI2355" s="2">
        <v>45291</v>
      </c>
      <c r="AJ2355" s="2">
        <v>45022</v>
      </c>
    </row>
    <row r="2356" spans="1:36">
      <c r="A2356" s="1" t="str">
        <f>"ZD13ABE366"</f>
        <v>ZD13ABE366</v>
      </c>
      <c r="B2356" s="1" t="str">
        <f t="shared" si="56"/>
        <v>02406911202</v>
      </c>
      <c r="C2356" s="1" t="s">
        <v>13</v>
      </c>
      <c r="D2356" s="1" t="s">
        <v>1257</v>
      </c>
      <c r="E2356" s="1" t="s">
        <v>4824</v>
      </c>
      <c r="F2356" s="1" t="s">
        <v>49</v>
      </c>
      <c r="G2356" s="1" t="str">
        <f>"00970310397"</f>
        <v>00970310397</v>
      </c>
      <c r="I2356" s="1" t="s">
        <v>4825</v>
      </c>
      <c r="L2356" s="1" t="s">
        <v>44</v>
      </c>
      <c r="M2356" s="1" t="s">
        <v>103</v>
      </c>
      <c r="AG2356" s="1" t="s">
        <v>4826</v>
      </c>
      <c r="AH2356" s="2">
        <v>45028</v>
      </c>
      <c r="AI2356" s="2">
        <v>45291</v>
      </c>
      <c r="AJ2356" s="2">
        <v>45028</v>
      </c>
    </row>
    <row r="2357" spans="1:36">
      <c r="A2357" s="1" t="str">
        <f>"Z923AC046C"</f>
        <v>Z923AC046C</v>
      </c>
      <c r="B2357" s="1" t="str">
        <f t="shared" si="56"/>
        <v>02406911202</v>
      </c>
      <c r="C2357" s="1" t="s">
        <v>13</v>
      </c>
      <c r="D2357" s="1" t="s">
        <v>1253</v>
      </c>
      <c r="E2357" s="1" t="s">
        <v>1260</v>
      </c>
      <c r="F2357" s="1" t="s">
        <v>49</v>
      </c>
      <c r="G2357" s="1" t="str">
        <f>"08082461008"</f>
        <v>08082461008</v>
      </c>
      <c r="I2357" s="1" t="s">
        <v>423</v>
      </c>
      <c r="L2357" s="1" t="s">
        <v>44</v>
      </c>
      <c r="M2357" s="1" t="s">
        <v>1255</v>
      </c>
      <c r="AG2357" s="1" t="s">
        <v>4827</v>
      </c>
      <c r="AH2357" s="2">
        <v>45028</v>
      </c>
      <c r="AI2357" s="2">
        <v>45291</v>
      </c>
      <c r="AJ2357" s="2">
        <v>45028</v>
      </c>
    </row>
    <row r="2358" spans="1:36">
      <c r="A2358" s="1" t="str">
        <f>"ZDB3AECF40"</f>
        <v>ZDB3AECF40</v>
      </c>
      <c r="B2358" s="1" t="str">
        <f t="shared" si="56"/>
        <v>02406911202</v>
      </c>
      <c r="C2358" s="1" t="s">
        <v>13</v>
      </c>
      <c r="D2358" s="1" t="s">
        <v>1257</v>
      </c>
      <c r="E2358" s="1" t="s">
        <v>4828</v>
      </c>
      <c r="F2358" s="1" t="s">
        <v>49</v>
      </c>
      <c r="G2358" s="1" t="str">
        <f>"08976680150"</f>
        <v>08976680150</v>
      </c>
      <c r="I2358" s="1" t="s">
        <v>4273</v>
      </c>
      <c r="L2358" s="1" t="s">
        <v>44</v>
      </c>
      <c r="M2358" s="1" t="s">
        <v>4829</v>
      </c>
      <c r="AG2358" s="1" t="s">
        <v>124</v>
      </c>
      <c r="AH2358" s="2">
        <v>45043</v>
      </c>
      <c r="AI2358" s="2">
        <v>45051</v>
      </c>
      <c r="AJ2358" s="2">
        <v>45043</v>
      </c>
    </row>
    <row r="2359" spans="1:36">
      <c r="A2359" s="1" t="str">
        <f>"ZB33B7FD70"</f>
        <v>ZB33B7FD70</v>
      </c>
      <c r="B2359" s="1" t="str">
        <f t="shared" si="56"/>
        <v>02406911202</v>
      </c>
      <c r="C2359" s="1" t="s">
        <v>13</v>
      </c>
      <c r="D2359" s="1" t="s">
        <v>1253</v>
      </c>
      <c r="E2359" s="1" t="s">
        <v>1254</v>
      </c>
      <c r="F2359" s="1" t="s">
        <v>49</v>
      </c>
      <c r="G2359" s="1" t="str">
        <f>"00474010345"</f>
        <v>00474010345</v>
      </c>
      <c r="I2359" s="1" t="s">
        <v>814</v>
      </c>
      <c r="L2359" s="1" t="s">
        <v>44</v>
      </c>
      <c r="M2359" s="1" t="s">
        <v>1255</v>
      </c>
      <c r="AG2359" s="1" t="s">
        <v>4830</v>
      </c>
      <c r="AH2359" s="2">
        <v>45086</v>
      </c>
      <c r="AI2359" s="2">
        <v>45291</v>
      </c>
      <c r="AJ2359" s="2">
        <v>45086</v>
      </c>
    </row>
    <row r="2360" spans="1:36">
      <c r="A2360" s="1" t="str">
        <f>"98855852D0"</f>
        <v>98855852D0</v>
      </c>
      <c r="B2360" s="1" t="str">
        <f t="shared" si="56"/>
        <v>02406911202</v>
      </c>
      <c r="C2360" s="1" t="s">
        <v>13</v>
      </c>
      <c r="D2360" s="1" t="s">
        <v>37</v>
      </c>
      <c r="E2360" s="1" t="s">
        <v>4831</v>
      </c>
      <c r="F2360" s="1" t="s">
        <v>39</v>
      </c>
      <c r="G2360" s="1" t="str">
        <f>"01847901202"</f>
        <v>01847901202</v>
      </c>
      <c r="I2360" s="1" t="s">
        <v>1612</v>
      </c>
      <c r="L2360" s="1" t="s">
        <v>44</v>
      </c>
      <c r="M2360" s="1" t="s">
        <v>4832</v>
      </c>
      <c r="AG2360" s="1" t="s">
        <v>124</v>
      </c>
      <c r="AH2360" s="2">
        <v>45092</v>
      </c>
      <c r="AI2360" s="2">
        <v>46552</v>
      </c>
      <c r="AJ2360" s="2">
        <v>45092</v>
      </c>
    </row>
    <row r="2361" spans="1:36">
      <c r="A2361" s="1" t="str">
        <f>"ZBF3BA88C3"</f>
        <v>ZBF3BA88C3</v>
      </c>
      <c r="B2361" s="1" t="str">
        <f t="shared" si="56"/>
        <v>02406911202</v>
      </c>
      <c r="C2361" s="1" t="s">
        <v>13</v>
      </c>
      <c r="D2361" s="1" t="s">
        <v>1253</v>
      </c>
      <c r="E2361" s="1" t="s">
        <v>1260</v>
      </c>
      <c r="F2361" s="1" t="s">
        <v>49</v>
      </c>
      <c r="G2361" s="1" t="str">
        <f>"01799221005"</f>
        <v>01799221005</v>
      </c>
      <c r="I2361" s="1" t="s">
        <v>2875</v>
      </c>
      <c r="L2361" s="1" t="s">
        <v>44</v>
      </c>
      <c r="M2361" s="1" t="s">
        <v>1255</v>
      </c>
      <c r="AG2361" s="1" t="s">
        <v>124</v>
      </c>
      <c r="AH2361" s="2">
        <v>45099</v>
      </c>
      <c r="AI2361" s="2">
        <v>45291</v>
      </c>
      <c r="AJ2361" s="2">
        <v>45099</v>
      </c>
    </row>
    <row r="2362" spans="1:36">
      <c r="A2362" s="1" t="str">
        <f>"ZF23BB995A"</f>
        <v>ZF23BB995A</v>
      </c>
      <c r="B2362" s="1" t="str">
        <f t="shared" si="56"/>
        <v>02406911202</v>
      </c>
      <c r="C2362" s="1" t="s">
        <v>13</v>
      </c>
      <c r="D2362" s="1" t="s">
        <v>1253</v>
      </c>
      <c r="E2362" s="1" t="s">
        <v>1262</v>
      </c>
      <c r="F2362" s="1" t="s">
        <v>49</v>
      </c>
      <c r="G2362" s="1" t="str">
        <f>"10087630967"</f>
        <v>10087630967</v>
      </c>
      <c r="I2362" s="1" t="s">
        <v>3414</v>
      </c>
      <c r="L2362" s="1" t="s">
        <v>44</v>
      </c>
      <c r="M2362" s="1" t="s">
        <v>1255</v>
      </c>
      <c r="AG2362" s="1" t="s">
        <v>4833</v>
      </c>
      <c r="AH2362" s="2">
        <v>45105</v>
      </c>
      <c r="AI2362" s="2">
        <v>45291</v>
      </c>
      <c r="AJ2362" s="2">
        <v>45105</v>
      </c>
    </row>
    <row r="2363" spans="1:36">
      <c r="A2363" s="1" t="str">
        <f>"ZD13B91422"</f>
        <v>ZD13B91422</v>
      </c>
      <c r="B2363" s="1" t="str">
        <f t="shared" si="56"/>
        <v>02406911202</v>
      </c>
      <c r="C2363" s="1" t="s">
        <v>13</v>
      </c>
      <c r="D2363" s="1" t="s">
        <v>1741</v>
      </c>
      <c r="E2363" s="1" t="s">
        <v>4834</v>
      </c>
      <c r="F2363" s="1" t="s">
        <v>39</v>
      </c>
      <c r="G2363" s="1" t="str">
        <f>"03034580369"</f>
        <v>03034580369</v>
      </c>
      <c r="I2363" s="1" t="s">
        <v>4835</v>
      </c>
      <c r="L2363" s="1" t="s">
        <v>44</v>
      </c>
      <c r="M2363" s="1" t="s">
        <v>4836</v>
      </c>
      <c r="AG2363" s="1" t="s">
        <v>124</v>
      </c>
      <c r="AH2363" s="2">
        <v>45092</v>
      </c>
      <c r="AI2363" s="2">
        <v>45291</v>
      </c>
      <c r="AJ2363" s="2">
        <v>45092</v>
      </c>
    </row>
    <row r="2364" spans="1:36">
      <c r="A2364" s="1" t="str">
        <f>"ZBA3A95BF9"</f>
        <v>ZBA3A95BF9</v>
      </c>
      <c r="B2364" s="1" t="str">
        <f t="shared" si="56"/>
        <v>02406911202</v>
      </c>
      <c r="C2364" s="1" t="s">
        <v>13</v>
      </c>
      <c r="D2364" s="1" t="s">
        <v>1253</v>
      </c>
      <c r="E2364" s="1" t="s">
        <v>1387</v>
      </c>
      <c r="F2364" s="1" t="s">
        <v>49</v>
      </c>
      <c r="G2364" s="1" t="str">
        <f>"02158490595"</f>
        <v>02158490595</v>
      </c>
      <c r="I2364" s="1" t="s">
        <v>2067</v>
      </c>
      <c r="L2364" s="1" t="s">
        <v>44</v>
      </c>
      <c r="M2364" s="1" t="s">
        <v>1255</v>
      </c>
      <c r="AG2364" s="1" t="s">
        <v>4837</v>
      </c>
      <c r="AH2364" s="2">
        <v>45014</v>
      </c>
      <c r="AI2364" s="2">
        <v>45291</v>
      </c>
      <c r="AJ2364" s="2">
        <v>45014</v>
      </c>
    </row>
    <row r="2365" spans="1:36">
      <c r="A2365" s="1" t="str">
        <f>"Z9A3A95D27"</f>
        <v>Z9A3A95D27</v>
      </c>
      <c r="B2365" s="1" t="str">
        <f t="shared" si="56"/>
        <v>02406911202</v>
      </c>
      <c r="C2365" s="1" t="s">
        <v>13</v>
      </c>
      <c r="D2365" s="1" t="s">
        <v>1741</v>
      </c>
      <c r="E2365" s="1" t="s">
        <v>4838</v>
      </c>
      <c r="F2365" s="1" t="s">
        <v>49</v>
      </c>
      <c r="G2365" s="1" t="str">
        <f>"01818301200"</f>
        <v>01818301200</v>
      </c>
      <c r="I2365" s="1" t="s">
        <v>4839</v>
      </c>
      <c r="L2365" s="1" t="s">
        <v>44</v>
      </c>
      <c r="M2365" s="1" t="s">
        <v>4840</v>
      </c>
      <c r="AG2365" s="1" t="s">
        <v>4841</v>
      </c>
      <c r="AH2365" s="2">
        <v>45014</v>
      </c>
      <c r="AI2365" s="2">
        <v>45016</v>
      </c>
      <c r="AJ2365" s="2">
        <v>45014</v>
      </c>
    </row>
    <row r="2366" spans="1:36">
      <c r="A2366" s="1" t="str">
        <f>"Z643A9C441"</f>
        <v>Z643A9C441</v>
      </c>
      <c r="B2366" s="1" t="str">
        <f t="shared" si="56"/>
        <v>02406911202</v>
      </c>
      <c r="C2366" s="1" t="s">
        <v>13</v>
      </c>
      <c r="D2366" s="1" t="s">
        <v>1253</v>
      </c>
      <c r="E2366" s="1" t="s">
        <v>1262</v>
      </c>
      <c r="F2366" s="1" t="s">
        <v>49</v>
      </c>
      <c r="H2366" s="1" t="str">
        <f>"00308491521"</f>
        <v>00308491521</v>
      </c>
      <c r="I2366" s="1" t="s">
        <v>4842</v>
      </c>
      <c r="L2366" s="1" t="s">
        <v>44</v>
      </c>
      <c r="M2366" s="1" t="s">
        <v>153</v>
      </c>
      <c r="AG2366" s="1" t="s">
        <v>3157</v>
      </c>
      <c r="AH2366" s="2">
        <v>45015</v>
      </c>
      <c r="AI2366" s="2">
        <v>45291</v>
      </c>
      <c r="AJ2366" s="2">
        <v>45015</v>
      </c>
    </row>
    <row r="2367" spans="1:36">
      <c r="A2367" s="1" t="str">
        <f>"ZD93AB265D"</f>
        <v>ZD93AB265D</v>
      </c>
      <c r="B2367" s="1" t="str">
        <f t="shared" si="56"/>
        <v>02406911202</v>
      </c>
      <c r="C2367" s="1" t="s">
        <v>13</v>
      </c>
      <c r="D2367" s="1" t="s">
        <v>1312</v>
      </c>
      <c r="E2367" s="1" t="s">
        <v>4843</v>
      </c>
      <c r="F2367" s="1" t="s">
        <v>49</v>
      </c>
      <c r="G2367" s="1" t="str">
        <f>"03893361000"</f>
        <v>03893361000</v>
      </c>
      <c r="I2367" s="1" t="s">
        <v>637</v>
      </c>
      <c r="L2367" s="1" t="s">
        <v>44</v>
      </c>
      <c r="M2367" s="1" t="s">
        <v>4844</v>
      </c>
      <c r="AG2367" s="1" t="s">
        <v>4844</v>
      </c>
      <c r="AH2367" s="2">
        <v>44927</v>
      </c>
      <c r="AI2367" s="2">
        <v>45291</v>
      </c>
      <c r="AJ2367" s="2">
        <v>44927</v>
      </c>
    </row>
    <row r="2368" spans="1:36">
      <c r="A2368" s="1" t="str">
        <f>"ZBC3ADB45D"</f>
        <v>ZBC3ADB45D</v>
      </c>
      <c r="B2368" s="1" t="str">
        <f t="shared" si="56"/>
        <v>02406911202</v>
      </c>
      <c r="C2368" s="1" t="s">
        <v>13</v>
      </c>
      <c r="D2368" s="1" t="s">
        <v>1312</v>
      </c>
      <c r="E2368" s="1" t="s">
        <v>3123</v>
      </c>
      <c r="F2368" s="1" t="s">
        <v>49</v>
      </c>
      <c r="G2368" s="1" t="str">
        <f>"02501461202"</f>
        <v>02501461202</v>
      </c>
      <c r="I2368" s="1" t="s">
        <v>2278</v>
      </c>
      <c r="L2368" s="1" t="s">
        <v>44</v>
      </c>
      <c r="M2368" s="1" t="s">
        <v>1314</v>
      </c>
      <c r="AG2368" s="1" t="s">
        <v>4845</v>
      </c>
      <c r="AH2368" s="2">
        <v>45035</v>
      </c>
      <c r="AI2368" s="2">
        <v>46022</v>
      </c>
      <c r="AJ2368" s="2">
        <v>45035</v>
      </c>
    </row>
    <row r="2369" spans="1:36">
      <c r="A2369" s="1" t="str">
        <f>"97850606F4"</f>
        <v>97850606F4</v>
      </c>
      <c r="B2369" s="1" t="str">
        <f t="shared" si="56"/>
        <v>02406911202</v>
      </c>
      <c r="C2369" s="1" t="s">
        <v>13</v>
      </c>
      <c r="D2369" s="1" t="s">
        <v>37</v>
      </c>
      <c r="E2369" s="1" t="s">
        <v>4846</v>
      </c>
      <c r="F2369" s="1" t="s">
        <v>39</v>
      </c>
      <c r="G2369" s="1" t="str">
        <f>"01896541206"</f>
        <v>01896541206</v>
      </c>
      <c r="I2369" s="1" t="s">
        <v>4847</v>
      </c>
      <c r="L2369" s="1" t="s">
        <v>44</v>
      </c>
      <c r="M2369" s="1" t="s">
        <v>4848</v>
      </c>
      <c r="AG2369" s="1" t="s">
        <v>4849</v>
      </c>
      <c r="AH2369" s="2">
        <v>45078</v>
      </c>
      <c r="AI2369" s="2">
        <v>45443</v>
      </c>
      <c r="AJ2369" s="2">
        <v>45078</v>
      </c>
    </row>
    <row r="2370" spans="1:36">
      <c r="A2370" s="1" t="str">
        <f>"Z343AEB6D4"</f>
        <v>Z343AEB6D4</v>
      </c>
      <c r="B2370" s="1" t="str">
        <f t="shared" si="56"/>
        <v>02406911202</v>
      </c>
      <c r="C2370" s="1" t="s">
        <v>13</v>
      </c>
      <c r="D2370" s="1" t="s">
        <v>1257</v>
      </c>
      <c r="E2370" s="1" t="s">
        <v>4850</v>
      </c>
      <c r="F2370" s="1" t="s">
        <v>49</v>
      </c>
      <c r="G2370" s="1" t="str">
        <f>"02263030393"</f>
        <v>02263030393</v>
      </c>
      <c r="I2370" s="1" t="s">
        <v>3213</v>
      </c>
      <c r="L2370" s="1" t="s">
        <v>44</v>
      </c>
      <c r="M2370" s="1" t="s">
        <v>933</v>
      </c>
      <c r="AG2370" s="1" t="s">
        <v>4851</v>
      </c>
      <c r="AH2370" s="2">
        <v>45042</v>
      </c>
      <c r="AI2370" s="2">
        <v>45291</v>
      </c>
      <c r="AJ2370" s="2">
        <v>45042</v>
      </c>
    </row>
    <row r="2371" spans="1:36">
      <c r="A2371" s="1" t="str">
        <f>"Z8D3ADAE8F"</f>
        <v>Z8D3ADAE8F</v>
      </c>
      <c r="B2371" s="1" t="str">
        <f t="shared" si="56"/>
        <v>02406911202</v>
      </c>
      <c r="C2371" s="1" t="s">
        <v>13</v>
      </c>
      <c r="D2371" s="1" t="s">
        <v>1253</v>
      </c>
      <c r="E2371" s="1" t="s">
        <v>1260</v>
      </c>
      <c r="F2371" s="1" t="s">
        <v>49</v>
      </c>
      <c r="G2371" s="1" t="str">
        <f>"06032681006"</f>
        <v>06032681006</v>
      </c>
      <c r="I2371" s="1" t="s">
        <v>1351</v>
      </c>
      <c r="L2371" s="1" t="s">
        <v>44</v>
      </c>
      <c r="M2371" s="1" t="s">
        <v>1255</v>
      </c>
      <c r="AG2371" s="1" t="s">
        <v>4852</v>
      </c>
      <c r="AH2371" s="2">
        <v>45043</v>
      </c>
      <c r="AI2371" s="2">
        <v>45291</v>
      </c>
      <c r="AJ2371" s="2">
        <v>45043</v>
      </c>
    </row>
    <row r="2372" spans="1:36">
      <c r="A2372" s="1" t="str">
        <f>"ZA03AF0FBF"</f>
        <v>ZA03AF0FBF</v>
      </c>
      <c r="B2372" s="1" t="str">
        <f t="shared" si="56"/>
        <v>02406911202</v>
      </c>
      <c r="C2372" s="1" t="s">
        <v>13</v>
      </c>
      <c r="D2372" s="1" t="s">
        <v>1257</v>
      </c>
      <c r="E2372" s="1" t="s">
        <v>4853</v>
      </c>
      <c r="F2372" s="1" t="s">
        <v>49</v>
      </c>
      <c r="G2372" s="1" t="str">
        <f>"11696920013"</f>
        <v>11696920013</v>
      </c>
      <c r="I2372" s="1" t="s">
        <v>4854</v>
      </c>
      <c r="L2372" s="1" t="s">
        <v>44</v>
      </c>
      <c r="M2372" s="1" t="s">
        <v>4855</v>
      </c>
      <c r="AG2372" s="1" t="s">
        <v>124</v>
      </c>
      <c r="AH2372" s="2">
        <v>45043</v>
      </c>
      <c r="AI2372" s="2">
        <v>45106</v>
      </c>
      <c r="AJ2372" s="2">
        <v>45043</v>
      </c>
    </row>
    <row r="2373" spans="1:36">
      <c r="A2373" s="1" t="str">
        <f>"Z213B89C24"</f>
        <v>Z213B89C24</v>
      </c>
      <c r="B2373" s="1" t="str">
        <f t="shared" si="56"/>
        <v>02406911202</v>
      </c>
      <c r="C2373" s="1" t="s">
        <v>13</v>
      </c>
      <c r="D2373" s="1" t="s">
        <v>1257</v>
      </c>
      <c r="E2373" s="1" t="s">
        <v>4856</v>
      </c>
      <c r="F2373" s="1" t="s">
        <v>49</v>
      </c>
      <c r="G2373" s="1" t="str">
        <f>"03362950960"</f>
        <v>03362950960</v>
      </c>
      <c r="I2373" s="1" t="s">
        <v>4857</v>
      </c>
      <c r="L2373" s="1" t="s">
        <v>44</v>
      </c>
      <c r="M2373" s="1" t="s">
        <v>4858</v>
      </c>
      <c r="AG2373" s="1" t="s">
        <v>124</v>
      </c>
      <c r="AH2373" s="2">
        <v>45091</v>
      </c>
      <c r="AI2373" s="2">
        <v>45291</v>
      </c>
      <c r="AJ2373" s="2">
        <v>45091</v>
      </c>
    </row>
    <row r="2374" spans="1:36">
      <c r="A2374" s="1" t="str">
        <f>"ZEF3BAEDF1"</f>
        <v>ZEF3BAEDF1</v>
      </c>
      <c r="B2374" s="1" t="str">
        <f t="shared" ref="B2374:B2437" si="57">"02406911202"</f>
        <v>02406911202</v>
      </c>
      <c r="C2374" s="1" t="s">
        <v>13</v>
      </c>
      <c r="D2374" s="1" t="s">
        <v>205</v>
      </c>
      <c r="E2374" s="1" t="s">
        <v>4859</v>
      </c>
      <c r="F2374" s="1" t="s">
        <v>49</v>
      </c>
      <c r="G2374" s="1" t="str">
        <f>"02411471200"</f>
        <v>02411471200</v>
      </c>
      <c r="I2374" s="1" t="s">
        <v>4860</v>
      </c>
      <c r="L2374" s="1" t="s">
        <v>44</v>
      </c>
      <c r="M2374" s="1" t="s">
        <v>930</v>
      </c>
      <c r="AG2374" s="1" t="s">
        <v>930</v>
      </c>
      <c r="AH2374" s="2">
        <v>44927</v>
      </c>
      <c r="AI2374" s="2">
        <v>45230</v>
      </c>
      <c r="AJ2374" s="2">
        <v>44927</v>
      </c>
    </row>
    <row r="2375" spans="1:36">
      <c r="A2375" s="1" t="str">
        <f>"ZEF3BB0B5B"</f>
        <v>ZEF3BB0B5B</v>
      </c>
      <c r="B2375" s="1" t="str">
        <f t="shared" si="57"/>
        <v>02406911202</v>
      </c>
      <c r="C2375" s="1" t="s">
        <v>13</v>
      </c>
      <c r="D2375" s="1" t="s">
        <v>1253</v>
      </c>
      <c r="E2375" s="1" t="s">
        <v>1262</v>
      </c>
      <c r="F2375" s="1" t="s">
        <v>49</v>
      </c>
      <c r="G2375" s="1" t="str">
        <f>"11654150157"</f>
        <v>11654150157</v>
      </c>
      <c r="I2375" s="1" t="s">
        <v>1468</v>
      </c>
      <c r="L2375" s="1" t="s">
        <v>44</v>
      </c>
      <c r="M2375" s="1" t="s">
        <v>1255</v>
      </c>
      <c r="AG2375" s="1" t="s">
        <v>4861</v>
      </c>
      <c r="AH2375" s="2">
        <v>45103</v>
      </c>
      <c r="AI2375" s="2">
        <v>45103</v>
      </c>
      <c r="AJ2375" s="2">
        <v>45103</v>
      </c>
    </row>
    <row r="2376" spans="1:36">
      <c r="A2376" s="1" t="str">
        <f>"ZC93BB818E"</f>
        <v>ZC93BB818E</v>
      </c>
      <c r="B2376" s="1" t="str">
        <f t="shared" si="57"/>
        <v>02406911202</v>
      </c>
      <c r="C2376" s="1" t="s">
        <v>13</v>
      </c>
      <c r="D2376" s="1" t="s">
        <v>1253</v>
      </c>
      <c r="E2376" s="1" t="s">
        <v>1270</v>
      </c>
      <c r="F2376" s="1" t="s">
        <v>49</v>
      </c>
      <c r="G2376" s="1" t="str">
        <f>"04337640280"</f>
        <v>04337640280</v>
      </c>
      <c r="I2376" s="1" t="s">
        <v>379</v>
      </c>
      <c r="L2376" s="1" t="s">
        <v>44</v>
      </c>
      <c r="M2376" s="1" t="s">
        <v>153</v>
      </c>
      <c r="AG2376" s="1" t="s">
        <v>4862</v>
      </c>
      <c r="AH2376" s="2">
        <v>45105</v>
      </c>
      <c r="AI2376" s="2">
        <v>45291</v>
      </c>
      <c r="AJ2376" s="2">
        <v>45105</v>
      </c>
    </row>
    <row r="2377" spans="1:36">
      <c r="A2377" s="1" t="str">
        <f>"9909717D28"</f>
        <v>9909717D28</v>
      </c>
      <c r="B2377" s="1" t="str">
        <f t="shared" si="57"/>
        <v>02406911202</v>
      </c>
      <c r="C2377" s="1" t="s">
        <v>13</v>
      </c>
      <c r="D2377" s="1" t="s">
        <v>37</v>
      </c>
      <c r="E2377" s="1" t="s">
        <v>4863</v>
      </c>
      <c r="F2377" s="1" t="s">
        <v>117</v>
      </c>
      <c r="G2377" s="1" t="str">
        <f>"11471750965"</f>
        <v>11471750965</v>
      </c>
      <c r="I2377" s="1" t="s">
        <v>4864</v>
      </c>
      <c r="L2377" s="1" t="s">
        <v>44</v>
      </c>
      <c r="M2377" s="1" t="s">
        <v>4865</v>
      </c>
      <c r="AG2377" s="1" t="s">
        <v>124</v>
      </c>
      <c r="AH2377" s="2">
        <v>45105</v>
      </c>
      <c r="AI2377" s="2">
        <v>46022</v>
      </c>
      <c r="AJ2377" s="2">
        <v>45105</v>
      </c>
    </row>
    <row r="2378" spans="1:36">
      <c r="A2378" s="1" t="str">
        <f>"99106742E9"</f>
        <v>99106742E9</v>
      </c>
      <c r="B2378" s="1" t="str">
        <f t="shared" si="57"/>
        <v>02406911202</v>
      </c>
      <c r="C2378" s="1" t="s">
        <v>13</v>
      </c>
      <c r="D2378" s="1" t="s">
        <v>37</v>
      </c>
      <c r="E2378" s="1" t="s">
        <v>4866</v>
      </c>
      <c r="F2378" s="1" t="s">
        <v>117</v>
      </c>
      <c r="G2378" s="1" t="str">
        <f>"00887261006"</f>
        <v>00887261006</v>
      </c>
      <c r="I2378" s="1" t="s">
        <v>2041</v>
      </c>
      <c r="L2378" s="1" t="s">
        <v>44</v>
      </c>
      <c r="M2378" s="1" t="s">
        <v>4867</v>
      </c>
      <c r="AG2378" s="1" t="s">
        <v>124</v>
      </c>
      <c r="AH2378" s="2">
        <v>45105</v>
      </c>
      <c r="AI2378" s="2">
        <v>45473</v>
      </c>
      <c r="AJ2378" s="2">
        <v>45105</v>
      </c>
    </row>
    <row r="2379" spans="1:36">
      <c r="A2379" s="1" t="str">
        <f>"2024000639"</f>
        <v>2024000639</v>
      </c>
      <c r="B2379" s="1" t="str">
        <f t="shared" si="57"/>
        <v>02406911202</v>
      </c>
      <c r="C2379" s="1" t="s">
        <v>13</v>
      </c>
      <c r="D2379" s="1" t="s">
        <v>37</v>
      </c>
      <c r="E2379" s="1" t="s">
        <v>4868</v>
      </c>
      <c r="F2379" s="1" t="s">
        <v>4869</v>
      </c>
      <c r="G2379" s="1" t="str">
        <f>"02770891204"</f>
        <v>02770891204</v>
      </c>
      <c r="I2379" s="1" t="s">
        <v>4870</v>
      </c>
      <c r="L2379" s="1" t="s">
        <v>44</v>
      </c>
      <c r="M2379" s="1" t="s">
        <v>4871</v>
      </c>
      <c r="AG2379" s="1" t="s">
        <v>124</v>
      </c>
      <c r="AH2379" s="2">
        <v>44927</v>
      </c>
      <c r="AI2379" s="2">
        <v>45657</v>
      </c>
      <c r="AJ2379" s="2">
        <v>44927</v>
      </c>
    </row>
    <row r="2380" spans="1:36">
      <c r="A2380" s="1" t="str">
        <f>"9722947DAD"</f>
        <v>9722947DAD</v>
      </c>
      <c r="B2380" s="1" t="str">
        <f t="shared" si="57"/>
        <v>02406911202</v>
      </c>
      <c r="C2380" s="1" t="s">
        <v>13</v>
      </c>
      <c r="D2380" s="1" t="s">
        <v>1312</v>
      </c>
      <c r="E2380" s="1" t="s">
        <v>4872</v>
      </c>
      <c r="F2380" s="1" t="s">
        <v>49</v>
      </c>
      <c r="G2380" s="1" t="str">
        <f>"02405040284"</f>
        <v>02405040284</v>
      </c>
      <c r="I2380" s="1" t="s">
        <v>1473</v>
      </c>
      <c r="L2380" s="1" t="s">
        <v>44</v>
      </c>
      <c r="M2380" s="1" t="s">
        <v>4873</v>
      </c>
      <c r="AG2380" s="1" t="s">
        <v>4874</v>
      </c>
      <c r="AH2380" s="2">
        <v>45034</v>
      </c>
      <c r="AI2380" s="2">
        <v>45657</v>
      </c>
      <c r="AJ2380" s="2">
        <v>45034</v>
      </c>
    </row>
    <row r="2381" spans="1:36">
      <c r="A2381" s="1" t="str">
        <f>"9722947DAD"</f>
        <v>9722947DAD</v>
      </c>
      <c r="B2381" s="1" t="str">
        <f t="shared" si="57"/>
        <v>02406911202</v>
      </c>
      <c r="C2381" s="1" t="s">
        <v>13</v>
      </c>
      <c r="D2381" s="1" t="s">
        <v>1312</v>
      </c>
      <c r="E2381" s="1" t="s">
        <v>4872</v>
      </c>
      <c r="F2381" s="1" t="s">
        <v>49</v>
      </c>
      <c r="G2381" s="1" t="str">
        <f>"08693440151"</f>
        <v>08693440151</v>
      </c>
      <c r="I2381" s="1" t="s">
        <v>2457</v>
      </c>
      <c r="L2381" s="1" t="s">
        <v>41</v>
      </c>
      <c r="AJ2381" s="2">
        <v>45034</v>
      </c>
    </row>
    <row r="2382" spans="1:36">
      <c r="A2382" s="1" t="str">
        <f>"9722947DAD"</f>
        <v>9722947DAD</v>
      </c>
      <c r="B2382" s="1" t="str">
        <f t="shared" si="57"/>
        <v>02406911202</v>
      </c>
      <c r="C2382" s="1" t="s">
        <v>13</v>
      </c>
      <c r="D2382" s="1" t="s">
        <v>1312</v>
      </c>
      <c r="E2382" s="1" t="s">
        <v>4872</v>
      </c>
      <c r="F2382" s="1" t="s">
        <v>49</v>
      </c>
      <c r="G2382" s="1" t="str">
        <f>"02705540165"</f>
        <v>02705540165</v>
      </c>
      <c r="I2382" s="1" t="s">
        <v>1268</v>
      </c>
      <c r="L2382" s="1" t="s">
        <v>41</v>
      </c>
      <c r="AJ2382" s="2">
        <v>45034</v>
      </c>
    </row>
    <row r="2383" spans="1:36">
      <c r="A2383" s="1" t="str">
        <f>"9722947DAD"</f>
        <v>9722947DAD</v>
      </c>
      <c r="B2383" s="1" t="str">
        <f t="shared" si="57"/>
        <v>02406911202</v>
      </c>
      <c r="C2383" s="1" t="s">
        <v>13</v>
      </c>
      <c r="D2383" s="1" t="s">
        <v>1312</v>
      </c>
      <c r="E2383" s="1" t="s">
        <v>4872</v>
      </c>
      <c r="F2383" s="1" t="s">
        <v>49</v>
      </c>
      <c r="G2383" s="1" t="str">
        <f>"00805390283"</f>
        <v>00805390283</v>
      </c>
      <c r="I2383" s="1" t="s">
        <v>3576</v>
      </c>
      <c r="L2383" s="1" t="s">
        <v>41</v>
      </c>
      <c r="AJ2383" s="2">
        <v>45034</v>
      </c>
    </row>
    <row r="2384" spans="1:36">
      <c r="A2384" s="1" t="str">
        <f>"Z303ADFB76"</f>
        <v>Z303ADFB76</v>
      </c>
      <c r="B2384" s="1" t="str">
        <f t="shared" si="57"/>
        <v>02406911202</v>
      </c>
      <c r="C2384" s="1" t="s">
        <v>13</v>
      </c>
      <c r="D2384" s="1" t="s">
        <v>37</v>
      </c>
      <c r="E2384" s="1" t="s">
        <v>4875</v>
      </c>
      <c r="F2384" s="1" t="s">
        <v>117</v>
      </c>
      <c r="G2384" s="1" t="str">
        <f>"04430740235"</f>
        <v>04430740235</v>
      </c>
      <c r="I2384" s="1" t="s">
        <v>4876</v>
      </c>
      <c r="L2384" s="1" t="s">
        <v>44</v>
      </c>
      <c r="M2384" s="1" t="s">
        <v>4877</v>
      </c>
      <c r="AG2384" s="1" t="s">
        <v>124</v>
      </c>
      <c r="AH2384" s="2">
        <v>45017</v>
      </c>
      <c r="AI2384" s="2">
        <v>45382</v>
      </c>
      <c r="AJ2384" s="2">
        <v>45017</v>
      </c>
    </row>
    <row r="2385" spans="1:36">
      <c r="A2385" s="1" t="str">
        <f>"Z263ADFBB5"</f>
        <v>Z263ADFBB5</v>
      </c>
      <c r="B2385" s="1" t="str">
        <f t="shared" si="57"/>
        <v>02406911202</v>
      </c>
      <c r="C2385" s="1" t="s">
        <v>13</v>
      </c>
      <c r="D2385" s="1" t="s">
        <v>37</v>
      </c>
      <c r="E2385" s="1" t="s">
        <v>4875</v>
      </c>
      <c r="F2385" s="1" t="s">
        <v>117</v>
      </c>
      <c r="G2385" s="1" t="str">
        <f>"01740391204"</f>
        <v>01740391204</v>
      </c>
      <c r="I2385" s="1" t="s">
        <v>1847</v>
      </c>
      <c r="L2385" s="1" t="s">
        <v>44</v>
      </c>
      <c r="M2385" s="1" t="s">
        <v>4878</v>
      </c>
      <c r="AG2385" s="1" t="s">
        <v>4879</v>
      </c>
      <c r="AH2385" s="2">
        <v>45017</v>
      </c>
      <c r="AI2385" s="2">
        <v>45382</v>
      </c>
      <c r="AJ2385" s="2">
        <v>45017</v>
      </c>
    </row>
    <row r="2386" spans="1:36">
      <c r="A2386" s="1" t="str">
        <f>"97920417DB"</f>
        <v>97920417DB</v>
      </c>
      <c r="B2386" s="1" t="str">
        <f t="shared" si="57"/>
        <v>02406911202</v>
      </c>
      <c r="C2386" s="1" t="s">
        <v>13</v>
      </c>
      <c r="D2386" s="1" t="s">
        <v>37</v>
      </c>
      <c r="E2386" s="1" t="s">
        <v>4880</v>
      </c>
      <c r="F2386" s="1" t="s">
        <v>117</v>
      </c>
      <c r="G2386" s="1" t="str">
        <f>"03690650134"</f>
        <v>03690650134</v>
      </c>
      <c r="I2386" s="1" t="s">
        <v>1271</v>
      </c>
      <c r="L2386" s="1" t="s">
        <v>44</v>
      </c>
      <c r="M2386" s="1" t="s">
        <v>4881</v>
      </c>
      <c r="AG2386" s="1" t="s">
        <v>124</v>
      </c>
      <c r="AH2386" s="2">
        <v>45042</v>
      </c>
      <c r="AI2386" s="2">
        <v>45291</v>
      </c>
      <c r="AJ2386" s="2">
        <v>45042</v>
      </c>
    </row>
    <row r="2387" spans="1:36">
      <c r="A2387" s="1" t="str">
        <f>"9792077591"</f>
        <v>9792077591</v>
      </c>
      <c r="B2387" s="1" t="str">
        <f t="shared" si="57"/>
        <v>02406911202</v>
      </c>
      <c r="C2387" s="1" t="s">
        <v>13</v>
      </c>
      <c r="D2387" s="1" t="s">
        <v>37</v>
      </c>
      <c r="E2387" s="1" t="s">
        <v>4882</v>
      </c>
      <c r="F2387" s="1" t="s">
        <v>117</v>
      </c>
      <c r="G2387" s="1" t="str">
        <f>"02133080305"</f>
        <v>02133080305</v>
      </c>
      <c r="I2387" s="1" t="s">
        <v>4883</v>
      </c>
      <c r="L2387" s="1" t="s">
        <v>44</v>
      </c>
      <c r="M2387" s="1" t="s">
        <v>4884</v>
      </c>
      <c r="AG2387" s="1" t="s">
        <v>4885</v>
      </c>
      <c r="AH2387" s="2">
        <v>45042</v>
      </c>
      <c r="AI2387" s="2">
        <v>45383</v>
      </c>
      <c r="AJ2387" s="2">
        <v>45042</v>
      </c>
    </row>
    <row r="2388" spans="1:36">
      <c r="A2388" s="1" t="str">
        <f>"ZC53ADAEF2"</f>
        <v>ZC53ADAEF2</v>
      </c>
      <c r="B2388" s="1" t="str">
        <f t="shared" si="57"/>
        <v>02406911202</v>
      </c>
      <c r="C2388" s="1" t="s">
        <v>13</v>
      </c>
      <c r="D2388" s="1" t="s">
        <v>1253</v>
      </c>
      <c r="E2388" s="1" t="s">
        <v>1260</v>
      </c>
      <c r="F2388" s="1" t="s">
        <v>49</v>
      </c>
      <c r="G2388" s="1" t="str">
        <f>"08082461008"</f>
        <v>08082461008</v>
      </c>
      <c r="I2388" s="1" t="s">
        <v>423</v>
      </c>
      <c r="L2388" s="1" t="s">
        <v>44</v>
      </c>
      <c r="M2388" s="1" t="s">
        <v>1255</v>
      </c>
      <c r="AG2388" s="1" t="s">
        <v>4886</v>
      </c>
      <c r="AH2388" s="2">
        <v>45044</v>
      </c>
      <c r="AI2388" s="2">
        <v>45291</v>
      </c>
      <c r="AJ2388" s="2">
        <v>45044</v>
      </c>
    </row>
    <row r="2389" spans="1:36">
      <c r="A2389" s="1" t="str">
        <f>"ZE83AFE644"</f>
        <v>ZE83AFE644</v>
      </c>
      <c r="B2389" s="1" t="str">
        <f t="shared" si="57"/>
        <v>02406911202</v>
      </c>
      <c r="C2389" s="1" t="s">
        <v>13</v>
      </c>
      <c r="D2389" s="1" t="s">
        <v>1312</v>
      </c>
      <c r="E2389" s="1" t="s">
        <v>4887</v>
      </c>
      <c r="F2389" s="1" t="s">
        <v>49</v>
      </c>
      <c r="G2389" s="1" t="str">
        <f>"01620830347"</f>
        <v>01620830347</v>
      </c>
      <c r="I2389" s="1" t="s">
        <v>2149</v>
      </c>
      <c r="L2389" s="1" t="s">
        <v>44</v>
      </c>
      <c r="M2389" s="1" t="s">
        <v>1314</v>
      </c>
      <c r="AG2389" s="1" t="s">
        <v>4888</v>
      </c>
      <c r="AH2389" s="2">
        <v>45049</v>
      </c>
      <c r="AI2389" s="2">
        <v>45322</v>
      </c>
      <c r="AJ2389" s="2">
        <v>45049</v>
      </c>
    </row>
    <row r="2390" spans="1:36">
      <c r="A2390" s="1" t="str">
        <f>"ZD83ADAF2A"</f>
        <v>ZD83ADAF2A</v>
      </c>
      <c r="B2390" s="1" t="str">
        <f t="shared" si="57"/>
        <v>02406911202</v>
      </c>
      <c r="C2390" s="1" t="s">
        <v>13</v>
      </c>
      <c r="D2390" s="1" t="s">
        <v>1253</v>
      </c>
      <c r="E2390" s="1" t="s">
        <v>1260</v>
      </c>
      <c r="F2390" s="1" t="s">
        <v>49</v>
      </c>
      <c r="G2390" s="1" t="str">
        <f>"02803471206"</f>
        <v>02803471206</v>
      </c>
      <c r="I2390" s="1" t="s">
        <v>1638</v>
      </c>
      <c r="L2390" s="1" t="s">
        <v>44</v>
      </c>
      <c r="M2390" s="1" t="s">
        <v>1255</v>
      </c>
      <c r="AG2390" s="1" t="s">
        <v>2565</v>
      </c>
      <c r="AH2390" s="2">
        <v>45050</v>
      </c>
      <c r="AI2390" s="2">
        <v>45291</v>
      </c>
      <c r="AJ2390" s="2">
        <v>45050</v>
      </c>
    </row>
    <row r="2391" spans="1:36">
      <c r="A2391" s="1" t="str">
        <f>"ZD73B040CA"</f>
        <v>ZD73B040CA</v>
      </c>
      <c r="B2391" s="1" t="str">
        <f t="shared" si="57"/>
        <v>02406911202</v>
      </c>
      <c r="C2391" s="1" t="s">
        <v>13</v>
      </c>
      <c r="D2391" s="1" t="s">
        <v>205</v>
      </c>
      <c r="E2391" s="1" t="s">
        <v>4889</v>
      </c>
      <c r="F2391" s="1" t="s">
        <v>49</v>
      </c>
      <c r="G2391" s="1" t="str">
        <f>"01812801205"</f>
        <v>01812801205</v>
      </c>
      <c r="I2391" s="1" t="s">
        <v>4890</v>
      </c>
      <c r="L2391" s="1" t="s">
        <v>44</v>
      </c>
      <c r="M2391" s="1" t="s">
        <v>4891</v>
      </c>
      <c r="AG2391" s="1" t="s">
        <v>4892</v>
      </c>
      <c r="AH2391" s="2">
        <v>44927</v>
      </c>
      <c r="AI2391" s="2">
        <v>45291</v>
      </c>
      <c r="AJ2391" s="2">
        <v>44927</v>
      </c>
    </row>
    <row r="2392" spans="1:36">
      <c r="A2392" s="1" t="str">
        <f>"9726755426"</f>
        <v>9726755426</v>
      </c>
      <c r="B2392" s="1" t="str">
        <f t="shared" si="57"/>
        <v>02406911202</v>
      </c>
      <c r="C2392" s="1" t="s">
        <v>13</v>
      </c>
      <c r="D2392" s="1" t="s">
        <v>37</v>
      </c>
      <c r="E2392" s="1" t="s">
        <v>4893</v>
      </c>
      <c r="F2392" s="1" t="s">
        <v>39</v>
      </c>
      <c r="G2392" s="1" t="str">
        <f>"03906850262"</f>
        <v>03906850262</v>
      </c>
      <c r="I2392" s="1" t="s">
        <v>4065</v>
      </c>
      <c r="L2392" s="1" t="s">
        <v>44</v>
      </c>
      <c r="M2392" s="1" t="s">
        <v>4894</v>
      </c>
      <c r="AG2392" s="1" t="s">
        <v>4895</v>
      </c>
      <c r="AH2392" s="2">
        <v>45078</v>
      </c>
      <c r="AI2392" s="2">
        <v>45808</v>
      </c>
      <c r="AJ2392" s="2">
        <v>45078</v>
      </c>
    </row>
    <row r="2393" spans="1:36">
      <c r="A2393" s="1" t="str">
        <f>"ZEF3B89ACC"</f>
        <v>ZEF3B89ACC</v>
      </c>
      <c r="B2393" s="1" t="str">
        <f t="shared" si="57"/>
        <v>02406911202</v>
      </c>
      <c r="C2393" s="1" t="s">
        <v>13</v>
      </c>
      <c r="D2393" s="1" t="s">
        <v>1253</v>
      </c>
      <c r="E2393" s="1" t="s">
        <v>1260</v>
      </c>
      <c r="F2393" s="1" t="s">
        <v>49</v>
      </c>
      <c r="G2393" s="1" t="str">
        <f>"07093190960"</f>
        <v>07093190960</v>
      </c>
      <c r="I2393" s="1" t="s">
        <v>2450</v>
      </c>
      <c r="L2393" s="1" t="s">
        <v>44</v>
      </c>
      <c r="M2393" s="1" t="s">
        <v>1255</v>
      </c>
      <c r="AG2393" s="1" t="s">
        <v>4896</v>
      </c>
      <c r="AH2393" s="2">
        <v>45091</v>
      </c>
      <c r="AI2393" s="2">
        <v>45291</v>
      </c>
      <c r="AJ2393" s="2">
        <v>45091</v>
      </c>
    </row>
    <row r="2394" spans="1:36">
      <c r="A2394" s="1" t="str">
        <f>"ZEE3B89A87"</f>
        <v>ZEE3B89A87</v>
      </c>
      <c r="B2394" s="1" t="str">
        <f t="shared" si="57"/>
        <v>02406911202</v>
      </c>
      <c r="C2394" s="1" t="s">
        <v>13</v>
      </c>
      <c r="D2394" s="1" t="s">
        <v>1253</v>
      </c>
      <c r="E2394" s="1" t="s">
        <v>1254</v>
      </c>
      <c r="F2394" s="1" t="s">
        <v>49</v>
      </c>
      <c r="G2394" s="1" t="str">
        <f>"09734150155"</f>
        <v>09734150155</v>
      </c>
      <c r="I2394" s="1" t="s">
        <v>1479</v>
      </c>
      <c r="L2394" s="1" t="s">
        <v>44</v>
      </c>
      <c r="M2394" s="1" t="s">
        <v>1255</v>
      </c>
      <c r="AG2394" s="1" t="s">
        <v>124</v>
      </c>
      <c r="AH2394" s="2">
        <v>45091</v>
      </c>
      <c r="AI2394" s="2">
        <v>45291</v>
      </c>
      <c r="AJ2394" s="2">
        <v>45091</v>
      </c>
    </row>
    <row r="2395" spans="1:36">
      <c r="A2395" s="1" t="str">
        <f>"Z743B9CCE3"</f>
        <v>Z743B9CCE3</v>
      </c>
      <c r="B2395" s="1" t="str">
        <f t="shared" si="57"/>
        <v>02406911202</v>
      </c>
      <c r="C2395" s="1" t="s">
        <v>13</v>
      </c>
      <c r="D2395" s="1" t="s">
        <v>1253</v>
      </c>
      <c r="E2395" s="1" t="s">
        <v>1325</v>
      </c>
      <c r="F2395" s="1" t="s">
        <v>49</v>
      </c>
      <c r="G2395" s="1" t="str">
        <f>"05014810484"</f>
        <v>05014810484</v>
      </c>
      <c r="I2395" s="1" t="s">
        <v>4897</v>
      </c>
      <c r="L2395" s="1" t="s">
        <v>44</v>
      </c>
      <c r="M2395" s="1" t="s">
        <v>153</v>
      </c>
      <c r="AG2395" s="1" t="s">
        <v>4898</v>
      </c>
      <c r="AH2395" s="2">
        <v>45097</v>
      </c>
      <c r="AI2395" s="2">
        <v>45291</v>
      </c>
      <c r="AJ2395" s="2">
        <v>45097</v>
      </c>
    </row>
    <row r="2396" spans="1:36">
      <c r="A2396" s="1" t="str">
        <f>"ZF73BA9ACC"</f>
        <v>ZF73BA9ACC</v>
      </c>
      <c r="B2396" s="1" t="str">
        <f t="shared" si="57"/>
        <v>02406911202</v>
      </c>
      <c r="C2396" s="1" t="s">
        <v>13</v>
      </c>
      <c r="D2396" s="1" t="s">
        <v>1312</v>
      </c>
      <c r="E2396" s="1" t="s">
        <v>4899</v>
      </c>
      <c r="F2396" s="1" t="s">
        <v>49</v>
      </c>
      <c r="G2396" s="1" t="str">
        <f>"07249200960"</f>
        <v>07249200960</v>
      </c>
      <c r="I2396" s="1" t="s">
        <v>2959</v>
      </c>
      <c r="L2396" s="1" t="s">
        <v>44</v>
      </c>
      <c r="M2396" s="1" t="s">
        <v>1314</v>
      </c>
      <c r="AG2396" s="1" t="s">
        <v>124</v>
      </c>
      <c r="AH2396" s="2">
        <v>45099</v>
      </c>
      <c r="AI2396" s="2">
        <v>46022</v>
      </c>
      <c r="AJ2396" s="2">
        <v>45099</v>
      </c>
    </row>
    <row r="2397" spans="1:36">
      <c r="A2397" s="1" t="str">
        <f>"ZBF3BB946E"</f>
        <v>ZBF3BB946E</v>
      </c>
      <c r="B2397" s="1" t="str">
        <f t="shared" si="57"/>
        <v>02406911202</v>
      </c>
      <c r="C2397" s="1" t="s">
        <v>13</v>
      </c>
      <c r="D2397" s="1" t="s">
        <v>1253</v>
      </c>
      <c r="E2397" s="1" t="s">
        <v>1387</v>
      </c>
      <c r="F2397" s="1" t="s">
        <v>49</v>
      </c>
      <c r="G2397" s="1" t="str">
        <f>"01620460186"</f>
        <v>01620460186</v>
      </c>
      <c r="I2397" s="1" t="s">
        <v>3386</v>
      </c>
      <c r="L2397" s="1" t="s">
        <v>44</v>
      </c>
      <c r="M2397" s="1" t="s">
        <v>1255</v>
      </c>
      <c r="AG2397" s="1" t="s">
        <v>124</v>
      </c>
      <c r="AH2397" s="2">
        <v>45105</v>
      </c>
      <c r="AI2397" s="2">
        <v>45291</v>
      </c>
      <c r="AJ2397" s="2">
        <v>45105</v>
      </c>
    </row>
    <row r="2398" spans="1:36">
      <c r="A2398" s="1" t="str">
        <f>"Z323BB94AA"</f>
        <v>Z323BB94AA</v>
      </c>
      <c r="B2398" s="1" t="str">
        <f t="shared" si="57"/>
        <v>02406911202</v>
      </c>
      <c r="C2398" s="1" t="s">
        <v>13</v>
      </c>
      <c r="D2398" s="1" t="s">
        <v>1253</v>
      </c>
      <c r="E2398" s="1" t="s">
        <v>1387</v>
      </c>
      <c r="F2398" s="1" t="s">
        <v>49</v>
      </c>
      <c r="G2398" s="1" t="str">
        <f>"01099110999"</f>
        <v>01099110999</v>
      </c>
      <c r="I2398" s="1" t="s">
        <v>2498</v>
      </c>
      <c r="L2398" s="1" t="s">
        <v>44</v>
      </c>
      <c r="M2398" s="1" t="s">
        <v>1255</v>
      </c>
      <c r="AG2398" s="1" t="s">
        <v>4900</v>
      </c>
      <c r="AH2398" s="2">
        <v>45105</v>
      </c>
      <c r="AI2398" s="2">
        <v>45291</v>
      </c>
      <c r="AJ2398" s="2">
        <v>45105</v>
      </c>
    </row>
    <row r="2399" spans="1:36">
      <c r="A2399" s="1" t="str">
        <f>"ZD33BA9504"</f>
        <v>ZD33BA9504</v>
      </c>
      <c r="B2399" s="1" t="str">
        <f t="shared" si="57"/>
        <v>02406911202</v>
      </c>
      <c r="C2399" s="1" t="s">
        <v>13</v>
      </c>
      <c r="D2399" s="1" t="s">
        <v>37</v>
      </c>
      <c r="E2399" s="1" t="s">
        <v>4901</v>
      </c>
      <c r="F2399" s="1" t="s">
        <v>39</v>
      </c>
      <c r="G2399" s="1" t="str">
        <f>"09018810151"</f>
        <v>09018810151</v>
      </c>
      <c r="I2399" s="1" t="s">
        <v>1542</v>
      </c>
      <c r="L2399" s="1" t="s">
        <v>44</v>
      </c>
      <c r="M2399" s="1" t="s">
        <v>4902</v>
      </c>
      <c r="AG2399" s="1" t="s">
        <v>124</v>
      </c>
      <c r="AH2399" s="2">
        <v>45105</v>
      </c>
      <c r="AI2399" s="2">
        <v>45214</v>
      </c>
      <c r="AJ2399" s="2">
        <v>45105</v>
      </c>
    </row>
    <row r="2400" spans="1:36">
      <c r="A2400" s="1" t="str">
        <f>"9912196AE5"</f>
        <v>9912196AE5</v>
      </c>
      <c r="B2400" s="1" t="str">
        <f t="shared" si="57"/>
        <v>02406911202</v>
      </c>
      <c r="C2400" s="1" t="s">
        <v>13</v>
      </c>
      <c r="D2400" s="1" t="s">
        <v>37</v>
      </c>
      <c r="E2400" s="1" t="s">
        <v>4903</v>
      </c>
      <c r="F2400" s="1" t="s">
        <v>117</v>
      </c>
      <c r="H2400" s="1" t="str">
        <f>"331567510"</f>
        <v>331567510</v>
      </c>
      <c r="I2400" s="1" t="s">
        <v>1591</v>
      </c>
      <c r="L2400" s="1" t="s">
        <v>44</v>
      </c>
      <c r="M2400" s="1" t="s">
        <v>4904</v>
      </c>
      <c r="AG2400" s="1" t="s">
        <v>4905</v>
      </c>
      <c r="AH2400" s="2">
        <v>45105</v>
      </c>
      <c r="AI2400" s="2">
        <v>46022</v>
      </c>
      <c r="AJ2400" s="2">
        <v>45105</v>
      </c>
    </row>
    <row r="2401" spans="1:36">
      <c r="A2401" s="1" t="str">
        <f>"Z963A91967"</f>
        <v>Z963A91967</v>
      </c>
      <c r="B2401" s="1" t="str">
        <f t="shared" si="57"/>
        <v>02406911202</v>
      </c>
      <c r="C2401" s="1" t="s">
        <v>13</v>
      </c>
      <c r="D2401" s="1" t="s">
        <v>1257</v>
      </c>
      <c r="E2401" s="1" t="s">
        <v>4906</v>
      </c>
      <c r="F2401" s="1" t="s">
        <v>49</v>
      </c>
      <c r="G2401" s="1" t="str">
        <f>"00803890151"</f>
        <v>00803890151</v>
      </c>
      <c r="I2401" s="1" t="s">
        <v>68</v>
      </c>
      <c r="L2401" s="1" t="s">
        <v>44</v>
      </c>
      <c r="M2401" s="1" t="s">
        <v>4907</v>
      </c>
      <c r="AG2401" s="1" t="s">
        <v>4907</v>
      </c>
      <c r="AH2401" s="2">
        <v>45013</v>
      </c>
      <c r="AI2401" s="2">
        <v>45014</v>
      </c>
      <c r="AJ2401" s="2">
        <v>45013</v>
      </c>
    </row>
    <row r="2402" spans="1:36">
      <c r="A2402" s="1" t="str">
        <f>"9634949371"</f>
        <v>9634949371</v>
      </c>
      <c r="B2402" s="1" t="str">
        <f t="shared" si="57"/>
        <v>02406911202</v>
      </c>
      <c r="C2402" s="1" t="s">
        <v>13</v>
      </c>
      <c r="D2402" s="1" t="s">
        <v>37</v>
      </c>
      <c r="E2402" s="1" t="s">
        <v>4908</v>
      </c>
      <c r="F2402" s="1" t="s">
        <v>117</v>
      </c>
      <c r="G2402" s="1" t="str">
        <f>"12971700153"</f>
        <v>12971700153</v>
      </c>
      <c r="I2402" s="1" t="s">
        <v>3690</v>
      </c>
      <c r="L2402" s="1" t="s">
        <v>44</v>
      </c>
      <c r="M2402" s="1" t="s">
        <v>4909</v>
      </c>
      <c r="AG2402" s="1" t="s">
        <v>4910</v>
      </c>
      <c r="AH2402" s="2">
        <v>44927</v>
      </c>
      <c r="AI2402" s="2">
        <v>46022</v>
      </c>
      <c r="AJ2402" s="2">
        <v>44927</v>
      </c>
    </row>
    <row r="2403" spans="1:36">
      <c r="A2403" s="1" t="str">
        <f>"977798587A"</f>
        <v>977798587A</v>
      </c>
      <c r="B2403" s="1" t="str">
        <f t="shared" si="57"/>
        <v>02406911202</v>
      </c>
      <c r="C2403" s="1" t="s">
        <v>13</v>
      </c>
      <c r="D2403" s="1" t="s">
        <v>37</v>
      </c>
      <c r="E2403" s="1" t="s">
        <v>4911</v>
      </c>
      <c r="F2403" s="1" t="s">
        <v>39</v>
      </c>
      <c r="G2403" s="1" t="str">
        <f>"00803890151"</f>
        <v>00803890151</v>
      </c>
      <c r="I2403" s="1" t="s">
        <v>68</v>
      </c>
      <c r="L2403" s="1" t="s">
        <v>44</v>
      </c>
      <c r="M2403" s="1" t="s">
        <v>4912</v>
      </c>
      <c r="AG2403" s="1" t="s">
        <v>4913</v>
      </c>
      <c r="AH2403" s="2">
        <v>45041</v>
      </c>
      <c r="AI2403" s="2">
        <v>45284</v>
      </c>
      <c r="AJ2403" s="2">
        <v>45041</v>
      </c>
    </row>
    <row r="2404" spans="1:36">
      <c r="A2404" s="1" t="str">
        <f>"97780817B3"</f>
        <v>97780817B3</v>
      </c>
      <c r="B2404" s="1" t="str">
        <f t="shared" si="57"/>
        <v>02406911202</v>
      </c>
      <c r="C2404" s="1" t="s">
        <v>13</v>
      </c>
      <c r="D2404" s="1" t="s">
        <v>37</v>
      </c>
      <c r="E2404" s="1" t="s">
        <v>4914</v>
      </c>
      <c r="F2404" s="1" t="s">
        <v>39</v>
      </c>
      <c r="G2404" s="1" t="str">
        <f>"03450130285"</f>
        <v>03450130285</v>
      </c>
      <c r="I2404" s="1" t="s">
        <v>2296</v>
      </c>
      <c r="L2404" s="1" t="s">
        <v>44</v>
      </c>
      <c r="M2404" s="1" t="s">
        <v>4915</v>
      </c>
      <c r="AG2404" s="1" t="s">
        <v>4916</v>
      </c>
      <c r="AH2404" s="2">
        <v>45041</v>
      </c>
      <c r="AI2404" s="2">
        <v>45284</v>
      </c>
      <c r="AJ2404" s="2">
        <v>45041</v>
      </c>
    </row>
    <row r="2405" spans="1:36">
      <c r="A2405" s="1" t="str">
        <f>"ZDD3AF7773"</f>
        <v>ZDD3AF7773</v>
      </c>
      <c r="B2405" s="1" t="str">
        <f t="shared" si="57"/>
        <v>02406911202</v>
      </c>
      <c r="C2405" s="1" t="s">
        <v>13</v>
      </c>
      <c r="D2405" s="1" t="s">
        <v>1312</v>
      </c>
      <c r="E2405" s="1" t="s">
        <v>4917</v>
      </c>
      <c r="F2405" s="1" t="s">
        <v>49</v>
      </c>
      <c r="G2405" s="1" t="str">
        <f>"02285440398"</f>
        <v>02285440398</v>
      </c>
      <c r="I2405" s="1" t="s">
        <v>3732</v>
      </c>
      <c r="L2405" s="1" t="s">
        <v>44</v>
      </c>
      <c r="M2405" s="1" t="s">
        <v>1314</v>
      </c>
      <c r="AG2405" s="1" t="s">
        <v>4918</v>
      </c>
      <c r="AH2405" s="2">
        <v>45048</v>
      </c>
      <c r="AI2405" s="2">
        <v>45412</v>
      </c>
      <c r="AJ2405" s="2">
        <v>45048</v>
      </c>
    </row>
    <row r="2406" spans="1:36">
      <c r="A2406" s="1" t="str">
        <f>"Z193AEFDFD"</f>
        <v>Z193AEFDFD</v>
      </c>
      <c r="B2406" s="1" t="str">
        <f t="shared" si="57"/>
        <v>02406911202</v>
      </c>
      <c r="C2406" s="1" t="s">
        <v>13</v>
      </c>
      <c r="D2406" s="1" t="s">
        <v>1312</v>
      </c>
      <c r="E2406" s="1" t="s">
        <v>4919</v>
      </c>
      <c r="F2406" s="1" t="s">
        <v>49</v>
      </c>
      <c r="G2406" s="1" t="str">
        <f>"00615700374"</f>
        <v>00615700374</v>
      </c>
      <c r="I2406" s="1" t="s">
        <v>1453</v>
      </c>
      <c r="L2406" s="1" t="s">
        <v>44</v>
      </c>
      <c r="M2406" s="1" t="s">
        <v>1735</v>
      </c>
      <c r="AG2406" s="1" t="s">
        <v>4920</v>
      </c>
      <c r="AH2406" s="2">
        <v>45048</v>
      </c>
      <c r="AI2406" s="2">
        <v>45291</v>
      </c>
      <c r="AJ2406" s="2">
        <v>45048</v>
      </c>
    </row>
    <row r="2407" spans="1:36">
      <c r="A2407" s="1" t="str">
        <f>"Z6A3B821A6"</f>
        <v>Z6A3B821A6</v>
      </c>
      <c r="B2407" s="1" t="str">
        <f t="shared" si="57"/>
        <v>02406911202</v>
      </c>
      <c r="C2407" s="1" t="s">
        <v>13</v>
      </c>
      <c r="D2407" s="1" t="s">
        <v>1312</v>
      </c>
      <c r="E2407" s="1" t="s">
        <v>4921</v>
      </c>
      <c r="F2407" s="1" t="s">
        <v>49</v>
      </c>
      <c r="G2407" s="1" t="str">
        <f>"04372620155"</f>
        <v>04372620155</v>
      </c>
      <c r="I2407" s="1" t="s">
        <v>3536</v>
      </c>
      <c r="L2407" s="1" t="s">
        <v>44</v>
      </c>
      <c r="M2407" s="1" t="s">
        <v>4922</v>
      </c>
      <c r="AG2407" s="1" t="s">
        <v>124</v>
      </c>
      <c r="AH2407" s="2">
        <v>45089</v>
      </c>
      <c r="AI2407" s="2">
        <v>45107</v>
      </c>
      <c r="AJ2407" s="2">
        <v>45089</v>
      </c>
    </row>
    <row r="2408" spans="1:36">
      <c r="A2408" s="1" t="str">
        <f>"ZC93BAA00C"</f>
        <v>ZC93BAA00C</v>
      </c>
      <c r="B2408" s="1" t="str">
        <f t="shared" si="57"/>
        <v>02406911202</v>
      </c>
      <c r="C2408" s="1" t="s">
        <v>13</v>
      </c>
      <c r="D2408" s="1" t="s">
        <v>205</v>
      </c>
      <c r="E2408" s="1" t="s">
        <v>4923</v>
      </c>
      <c r="F2408" s="1" t="s">
        <v>49</v>
      </c>
      <c r="G2408" s="1" t="str">
        <f>"09238800156"</f>
        <v>09238800156</v>
      </c>
      <c r="I2408" s="1" t="s">
        <v>88</v>
      </c>
      <c r="L2408" s="1" t="s">
        <v>44</v>
      </c>
      <c r="M2408" s="1" t="s">
        <v>2400</v>
      </c>
      <c r="AG2408" s="1" t="s">
        <v>4924</v>
      </c>
      <c r="AH2408" s="2">
        <v>45017</v>
      </c>
      <c r="AI2408" s="2">
        <v>45291</v>
      </c>
      <c r="AJ2408" s="2">
        <v>45017</v>
      </c>
    </row>
    <row r="2409" spans="1:36">
      <c r="A2409" s="1" t="str">
        <f>"Z203BAC0EF"</f>
        <v>Z203BAC0EF</v>
      </c>
      <c r="B2409" s="1" t="str">
        <f t="shared" si="57"/>
        <v>02406911202</v>
      </c>
      <c r="C2409" s="1" t="s">
        <v>13</v>
      </c>
      <c r="D2409" s="1" t="s">
        <v>1312</v>
      </c>
      <c r="E2409" s="1" t="s">
        <v>4925</v>
      </c>
      <c r="F2409" s="1" t="s">
        <v>49</v>
      </c>
      <c r="G2409" s="1" t="str">
        <f>"11575580151"</f>
        <v>11575580151</v>
      </c>
      <c r="I2409" s="1" t="s">
        <v>290</v>
      </c>
      <c r="L2409" s="1" t="s">
        <v>44</v>
      </c>
      <c r="M2409" s="1" t="s">
        <v>1314</v>
      </c>
      <c r="AG2409" s="1" t="s">
        <v>4926</v>
      </c>
      <c r="AH2409" s="2">
        <v>45100</v>
      </c>
      <c r="AI2409" s="2">
        <v>45322</v>
      </c>
      <c r="AJ2409" s="2">
        <v>45100</v>
      </c>
    </row>
    <row r="2410" spans="1:36">
      <c r="A2410" s="1" t="str">
        <f>"Z7D3BADCF1"</f>
        <v>Z7D3BADCF1</v>
      </c>
      <c r="B2410" s="1" t="str">
        <f t="shared" si="57"/>
        <v>02406911202</v>
      </c>
      <c r="C2410" s="1" t="s">
        <v>13</v>
      </c>
      <c r="D2410" s="1" t="s">
        <v>1312</v>
      </c>
      <c r="E2410" s="1" t="s">
        <v>4927</v>
      </c>
      <c r="F2410" s="1" t="s">
        <v>49</v>
      </c>
      <c r="G2410" s="1" t="str">
        <f>"06267580485"</f>
        <v>06267580485</v>
      </c>
      <c r="I2410" s="1" t="s">
        <v>4928</v>
      </c>
      <c r="L2410" s="1" t="s">
        <v>44</v>
      </c>
      <c r="M2410" s="1" t="s">
        <v>1314</v>
      </c>
      <c r="AG2410" s="1" t="s">
        <v>124</v>
      </c>
      <c r="AH2410" s="2">
        <v>45100</v>
      </c>
      <c r="AI2410" s="2">
        <v>45291</v>
      </c>
      <c r="AJ2410" s="2">
        <v>45100</v>
      </c>
    </row>
    <row r="2411" spans="1:36">
      <c r="A2411" s="1" t="str">
        <f>"ZE73A9B494"</f>
        <v>ZE73A9B494</v>
      </c>
      <c r="B2411" s="1" t="str">
        <f t="shared" si="57"/>
        <v>02406911202</v>
      </c>
      <c r="C2411" s="1" t="s">
        <v>13</v>
      </c>
      <c r="D2411" s="1" t="s">
        <v>37</v>
      </c>
      <c r="E2411" s="1" t="s">
        <v>4929</v>
      </c>
      <c r="F2411" s="1" t="s">
        <v>39</v>
      </c>
      <c r="G2411" s="1" t="str">
        <f>"03091530216"</f>
        <v>03091530216</v>
      </c>
      <c r="I2411" s="1" t="s">
        <v>1601</v>
      </c>
      <c r="L2411" s="1" t="s">
        <v>44</v>
      </c>
      <c r="M2411" s="1" t="s">
        <v>4930</v>
      </c>
      <c r="AG2411" s="1" t="s">
        <v>124</v>
      </c>
      <c r="AH2411" s="2">
        <v>45016</v>
      </c>
      <c r="AI2411" s="2">
        <v>45046</v>
      </c>
      <c r="AJ2411" s="2">
        <v>45016</v>
      </c>
    </row>
    <row r="2412" spans="1:36">
      <c r="A2412" s="1" t="str">
        <f>"Z913A9B4EE"</f>
        <v>Z913A9B4EE</v>
      </c>
      <c r="B2412" s="1" t="str">
        <f t="shared" si="57"/>
        <v>02406911202</v>
      </c>
      <c r="C2412" s="1" t="s">
        <v>13</v>
      </c>
      <c r="D2412" s="1" t="s">
        <v>37</v>
      </c>
      <c r="E2412" s="1" t="s">
        <v>4931</v>
      </c>
      <c r="F2412" s="1" t="s">
        <v>39</v>
      </c>
      <c r="G2412" s="1" t="str">
        <f>"08082461008"</f>
        <v>08082461008</v>
      </c>
      <c r="I2412" s="1" t="s">
        <v>423</v>
      </c>
      <c r="L2412" s="1" t="s">
        <v>44</v>
      </c>
      <c r="M2412" s="1" t="s">
        <v>4932</v>
      </c>
      <c r="AG2412" s="1" t="s">
        <v>4933</v>
      </c>
      <c r="AH2412" s="2">
        <v>45016</v>
      </c>
      <c r="AI2412" s="2">
        <v>45046</v>
      </c>
      <c r="AJ2412" s="2">
        <v>45016</v>
      </c>
    </row>
    <row r="2413" spans="1:36">
      <c r="A2413" s="1" t="str">
        <f>"Z293A9B555"</f>
        <v>Z293A9B555</v>
      </c>
      <c r="B2413" s="1" t="str">
        <f t="shared" si="57"/>
        <v>02406911202</v>
      </c>
      <c r="C2413" s="1" t="s">
        <v>13</v>
      </c>
      <c r="D2413" s="1" t="s">
        <v>37</v>
      </c>
      <c r="E2413" s="1" t="s">
        <v>4934</v>
      </c>
      <c r="F2413" s="1" t="s">
        <v>39</v>
      </c>
      <c r="G2413" s="1" t="str">
        <f>"11570870961"</f>
        <v>11570870961</v>
      </c>
      <c r="I2413" s="1" t="s">
        <v>1597</v>
      </c>
      <c r="L2413" s="1" t="s">
        <v>44</v>
      </c>
      <c r="M2413" s="1" t="s">
        <v>4935</v>
      </c>
      <c r="AG2413" s="1" t="s">
        <v>4936</v>
      </c>
      <c r="AH2413" s="2">
        <v>45016</v>
      </c>
      <c r="AI2413" s="2">
        <v>45046</v>
      </c>
      <c r="AJ2413" s="2">
        <v>45016</v>
      </c>
    </row>
    <row r="2414" spans="1:36">
      <c r="A2414" s="1" t="str">
        <f>"9748644386"</f>
        <v>9748644386</v>
      </c>
      <c r="B2414" s="1" t="str">
        <f t="shared" si="57"/>
        <v>02406911202</v>
      </c>
      <c r="C2414" s="1" t="s">
        <v>13</v>
      </c>
      <c r="D2414" s="1" t="s">
        <v>37</v>
      </c>
      <c r="E2414" s="1" t="s">
        <v>4937</v>
      </c>
      <c r="F2414" s="1" t="s">
        <v>39</v>
      </c>
      <c r="G2414" s="1" t="str">
        <f>"06032681006"</f>
        <v>06032681006</v>
      </c>
      <c r="I2414" s="1" t="s">
        <v>1351</v>
      </c>
      <c r="L2414" s="1" t="s">
        <v>44</v>
      </c>
      <c r="M2414" s="1" t="s">
        <v>4938</v>
      </c>
      <c r="AG2414" s="1" t="s">
        <v>4939</v>
      </c>
      <c r="AH2414" s="2">
        <v>45016</v>
      </c>
      <c r="AI2414" s="2">
        <v>45046</v>
      </c>
      <c r="AJ2414" s="2">
        <v>45016</v>
      </c>
    </row>
    <row r="2415" spans="1:36">
      <c r="A2415" s="1" t="str">
        <f>"9748743538"</f>
        <v>9748743538</v>
      </c>
      <c r="B2415" s="1" t="str">
        <f t="shared" si="57"/>
        <v>02406911202</v>
      </c>
      <c r="C2415" s="1" t="s">
        <v>13</v>
      </c>
      <c r="D2415" s="1" t="s">
        <v>37</v>
      </c>
      <c r="E2415" s="1" t="s">
        <v>4940</v>
      </c>
      <c r="F2415" s="1" t="s">
        <v>39</v>
      </c>
      <c r="G2415" s="1" t="str">
        <f>"01736720994"</f>
        <v>01736720994</v>
      </c>
      <c r="I2415" s="1" t="s">
        <v>80</v>
      </c>
      <c r="L2415" s="1" t="s">
        <v>44</v>
      </c>
      <c r="M2415" s="1" t="s">
        <v>148</v>
      </c>
      <c r="AG2415" s="1" t="s">
        <v>4941</v>
      </c>
      <c r="AH2415" s="2">
        <v>45016</v>
      </c>
      <c r="AI2415" s="2">
        <v>45046</v>
      </c>
      <c r="AJ2415" s="2">
        <v>45016</v>
      </c>
    </row>
    <row r="2416" spans="1:36">
      <c r="A2416" s="1" t="str">
        <f>"9675865863"</f>
        <v>9675865863</v>
      </c>
      <c r="B2416" s="1" t="str">
        <f t="shared" si="57"/>
        <v>02406911202</v>
      </c>
      <c r="C2416" s="1" t="s">
        <v>13</v>
      </c>
      <c r="D2416" s="1" t="s">
        <v>37</v>
      </c>
      <c r="E2416" s="1" t="s">
        <v>4942</v>
      </c>
      <c r="F2416" s="1" t="s">
        <v>39</v>
      </c>
      <c r="G2416" s="1" t="str">
        <f>"07435060152"</f>
        <v>07435060152</v>
      </c>
      <c r="I2416" s="1" t="s">
        <v>359</v>
      </c>
      <c r="L2416" s="1" t="s">
        <v>44</v>
      </c>
      <c r="M2416" s="1" t="s">
        <v>4943</v>
      </c>
      <c r="AG2416" s="1" t="s">
        <v>4944</v>
      </c>
      <c r="AH2416" s="2">
        <v>45017</v>
      </c>
      <c r="AI2416" s="2">
        <v>45169</v>
      </c>
      <c r="AJ2416" s="2">
        <v>45017</v>
      </c>
    </row>
    <row r="2417" spans="1:36">
      <c r="A2417" s="1" t="str">
        <f>"9675990F88"</f>
        <v>9675990F88</v>
      </c>
      <c r="B2417" s="1" t="str">
        <f t="shared" si="57"/>
        <v>02406911202</v>
      </c>
      <c r="C2417" s="1" t="s">
        <v>13</v>
      </c>
      <c r="D2417" s="1" t="s">
        <v>37</v>
      </c>
      <c r="E2417" s="1" t="s">
        <v>4945</v>
      </c>
      <c r="F2417" s="1" t="s">
        <v>39</v>
      </c>
      <c r="G2417" s="1" t="str">
        <f>"07435060152"</f>
        <v>07435060152</v>
      </c>
      <c r="I2417" s="1" t="s">
        <v>359</v>
      </c>
      <c r="L2417" s="1" t="s">
        <v>44</v>
      </c>
      <c r="M2417" s="1" t="s">
        <v>4946</v>
      </c>
      <c r="AG2417" s="1" t="s">
        <v>4947</v>
      </c>
      <c r="AH2417" s="2">
        <v>45017</v>
      </c>
      <c r="AI2417" s="2">
        <v>45169</v>
      </c>
      <c r="AJ2417" s="2">
        <v>45017</v>
      </c>
    </row>
    <row r="2418" spans="1:36">
      <c r="A2418" s="1" t="str">
        <f>"Z753B0DCBE"</f>
        <v>Z753B0DCBE</v>
      </c>
      <c r="B2418" s="1" t="str">
        <f t="shared" si="57"/>
        <v>02406911202</v>
      </c>
      <c r="C2418" s="1" t="s">
        <v>13</v>
      </c>
      <c r="D2418" s="1" t="s">
        <v>1312</v>
      </c>
      <c r="E2418" s="1" t="s">
        <v>4948</v>
      </c>
      <c r="F2418" s="1" t="s">
        <v>49</v>
      </c>
      <c r="G2418" s="1" t="str">
        <f>"05342840286"</f>
        <v>05342840286</v>
      </c>
      <c r="I2418" s="1" t="s">
        <v>2989</v>
      </c>
      <c r="L2418" s="1" t="s">
        <v>44</v>
      </c>
      <c r="M2418" s="1" t="s">
        <v>208</v>
      </c>
      <c r="AG2418" s="1" t="s">
        <v>4949</v>
      </c>
      <c r="AH2418" s="2">
        <v>45054</v>
      </c>
      <c r="AI2418" s="2">
        <v>45291</v>
      </c>
      <c r="AJ2418" s="2">
        <v>45054</v>
      </c>
    </row>
    <row r="2419" spans="1:36">
      <c r="A2419" s="1" t="str">
        <f>"Z143B0DC17"</f>
        <v>Z143B0DC17</v>
      </c>
      <c r="B2419" s="1" t="str">
        <f t="shared" si="57"/>
        <v>02406911202</v>
      </c>
      <c r="C2419" s="1" t="s">
        <v>13</v>
      </c>
      <c r="D2419" s="1" t="s">
        <v>1253</v>
      </c>
      <c r="E2419" s="1" t="s">
        <v>1260</v>
      </c>
      <c r="F2419" s="1" t="s">
        <v>49</v>
      </c>
      <c r="G2419" s="1" t="str">
        <f>"02680890411"</f>
        <v>02680890411</v>
      </c>
      <c r="I2419" s="1" t="s">
        <v>2694</v>
      </c>
      <c r="L2419" s="1" t="s">
        <v>44</v>
      </c>
      <c r="M2419" s="1" t="s">
        <v>1255</v>
      </c>
      <c r="AG2419" s="1" t="s">
        <v>4950</v>
      </c>
      <c r="AH2419" s="2">
        <v>45054</v>
      </c>
      <c r="AI2419" s="2">
        <v>45291</v>
      </c>
      <c r="AJ2419" s="2">
        <v>45054</v>
      </c>
    </row>
    <row r="2420" spans="1:36">
      <c r="A2420" s="1" t="str">
        <f>"Z373B13CC9"</f>
        <v>Z373B13CC9</v>
      </c>
      <c r="B2420" s="1" t="str">
        <f t="shared" si="57"/>
        <v>02406911202</v>
      </c>
      <c r="C2420" s="1" t="s">
        <v>13</v>
      </c>
      <c r="D2420" s="1" t="s">
        <v>205</v>
      </c>
      <c r="E2420" s="1" t="s">
        <v>4951</v>
      </c>
      <c r="F2420" s="1" t="s">
        <v>49</v>
      </c>
      <c r="G2420" s="1" t="str">
        <f>"03012311209"</f>
        <v>03012311209</v>
      </c>
      <c r="I2420" s="1" t="s">
        <v>4952</v>
      </c>
      <c r="L2420" s="1" t="s">
        <v>44</v>
      </c>
      <c r="M2420" s="1" t="s">
        <v>4953</v>
      </c>
      <c r="AG2420" s="1" t="s">
        <v>124</v>
      </c>
      <c r="AH2420" s="2">
        <v>44927</v>
      </c>
      <c r="AI2420" s="2">
        <v>45291</v>
      </c>
      <c r="AJ2420" s="2">
        <v>44927</v>
      </c>
    </row>
    <row r="2421" spans="1:36">
      <c r="A2421" s="1" t="str">
        <f>"9800129A48"</f>
        <v>9800129A48</v>
      </c>
      <c r="B2421" s="1" t="str">
        <f t="shared" si="57"/>
        <v>02406911202</v>
      </c>
      <c r="C2421" s="1" t="s">
        <v>13</v>
      </c>
      <c r="D2421" s="1" t="s">
        <v>37</v>
      </c>
      <c r="E2421" s="1" t="s">
        <v>4954</v>
      </c>
      <c r="F2421" s="1" t="s">
        <v>39</v>
      </c>
      <c r="G2421" s="1" t="str">
        <f>"09238800156"</f>
        <v>09238800156</v>
      </c>
      <c r="I2421" s="1" t="s">
        <v>88</v>
      </c>
      <c r="L2421" s="1" t="s">
        <v>44</v>
      </c>
      <c r="M2421" s="1" t="s">
        <v>4955</v>
      </c>
      <c r="AG2421" s="1" t="s">
        <v>4956</v>
      </c>
      <c r="AH2421" s="2">
        <v>45047</v>
      </c>
      <c r="AI2421" s="2">
        <v>46873</v>
      </c>
      <c r="AJ2421" s="2">
        <v>45047</v>
      </c>
    </row>
    <row r="2422" spans="1:36">
      <c r="A2422" s="1" t="str">
        <f>"Z5D3B18E9A"</f>
        <v>Z5D3B18E9A</v>
      </c>
      <c r="B2422" s="1" t="str">
        <f t="shared" si="57"/>
        <v>02406911202</v>
      </c>
      <c r="C2422" s="1" t="s">
        <v>13</v>
      </c>
      <c r="D2422" s="1" t="s">
        <v>1253</v>
      </c>
      <c r="E2422" s="1" t="s">
        <v>1270</v>
      </c>
      <c r="F2422" s="1" t="s">
        <v>49</v>
      </c>
      <c r="G2422" s="1" t="str">
        <f>"02077231203"</f>
        <v>02077231203</v>
      </c>
      <c r="I2422" s="1" t="s">
        <v>4957</v>
      </c>
      <c r="L2422" s="1" t="s">
        <v>44</v>
      </c>
      <c r="M2422" s="1" t="s">
        <v>1255</v>
      </c>
      <c r="AG2422" s="1" t="s">
        <v>4958</v>
      </c>
      <c r="AH2422" s="2">
        <v>45058</v>
      </c>
      <c r="AI2422" s="2">
        <v>45291</v>
      </c>
      <c r="AJ2422" s="2">
        <v>45058</v>
      </c>
    </row>
    <row r="2423" spans="1:36">
      <c r="A2423" s="1" t="str">
        <f>"ZCB3B8769F"</f>
        <v>ZCB3B8769F</v>
      </c>
      <c r="B2423" s="1" t="str">
        <f t="shared" si="57"/>
        <v>02406911202</v>
      </c>
      <c r="C2423" s="1" t="s">
        <v>13</v>
      </c>
      <c r="D2423" s="1" t="s">
        <v>1312</v>
      </c>
      <c r="E2423" s="1" t="s">
        <v>4959</v>
      </c>
      <c r="F2423" s="1" t="s">
        <v>49</v>
      </c>
      <c r="G2423" s="1" t="str">
        <f>"01228210371"</f>
        <v>01228210371</v>
      </c>
      <c r="I2423" s="1" t="s">
        <v>1425</v>
      </c>
      <c r="L2423" s="1" t="s">
        <v>44</v>
      </c>
      <c r="M2423" s="1" t="s">
        <v>1314</v>
      </c>
      <c r="AG2423" s="1" t="s">
        <v>4960</v>
      </c>
      <c r="AH2423" s="2">
        <v>45090</v>
      </c>
      <c r="AI2423" s="2">
        <v>46022</v>
      </c>
      <c r="AJ2423" s="2">
        <v>45090</v>
      </c>
    </row>
    <row r="2424" spans="1:36">
      <c r="A2424" s="1" t="str">
        <f>"ZE13B8C420"</f>
        <v>ZE13B8C420</v>
      </c>
      <c r="B2424" s="1" t="str">
        <f t="shared" si="57"/>
        <v>02406911202</v>
      </c>
      <c r="C2424" s="1" t="s">
        <v>13</v>
      </c>
      <c r="D2424" s="1" t="s">
        <v>1312</v>
      </c>
      <c r="E2424" s="1" t="s">
        <v>4961</v>
      </c>
      <c r="F2424" s="1" t="s">
        <v>49</v>
      </c>
      <c r="G2424" s="1" t="str">
        <f>"02491851206"</f>
        <v>02491851206</v>
      </c>
      <c r="I2424" s="1" t="s">
        <v>2136</v>
      </c>
      <c r="L2424" s="1" t="s">
        <v>44</v>
      </c>
      <c r="M2424" s="1" t="s">
        <v>1735</v>
      </c>
      <c r="AG2424" s="1" t="s">
        <v>124</v>
      </c>
      <c r="AH2424" s="2">
        <v>45091</v>
      </c>
      <c r="AI2424" s="2">
        <v>45291</v>
      </c>
      <c r="AJ2424" s="2">
        <v>45091</v>
      </c>
    </row>
    <row r="2425" spans="1:36">
      <c r="A2425" s="1" t="str">
        <f>"973373650D"</f>
        <v>973373650D</v>
      </c>
      <c r="B2425" s="1" t="str">
        <f t="shared" si="57"/>
        <v>02406911202</v>
      </c>
      <c r="C2425" s="1" t="s">
        <v>13</v>
      </c>
      <c r="D2425" s="1" t="s">
        <v>37</v>
      </c>
      <c r="E2425" s="1" t="s">
        <v>4962</v>
      </c>
      <c r="F2425" s="1" t="s">
        <v>117</v>
      </c>
      <c r="G2425" s="1" t="str">
        <f>"01818301200"</f>
        <v>01818301200</v>
      </c>
      <c r="I2425" s="1" t="s">
        <v>4839</v>
      </c>
      <c r="L2425" s="1" t="s">
        <v>44</v>
      </c>
      <c r="M2425" s="1" t="s">
        <v>4963</v>
      </c>
      <c r="AG2425" s="1" t="s">
        <v>4964</v>
      </c>
      <c r="AH2425" s="2">
        <v>45017</v>
      </c>
      <c r="AI2425" s="2">
        <v>46022</v>
      </c>
      <c r="AJ2425" s="2">
        <v>45017</v>
      </c>
    </row>
    <row r="2426" spans="1:36">
      <c r="A2426" s="1" t="str">
        <f>"Z643B8CD93"</f>
        <v>Z643B8CD93</v>
      </c>
      <c r="B2426" s="1" t="str">
        <f t="shared" si="57"/>
        <v>02406911202</v>
      </c>
      <c r="C2426" s="1" t="s">
        <v>13</v>
      </c>
      <c r="D2426" s="1" t="s">
        <v>1253</v>
      </c>
      <c r="E2426" s="1" t="s">
        <v>2170</v>
      </c>
      <c r="F2426" s="1" t="s">
        <v>49</v>
      </c>
      <c r="G2426" s="1" t="str">
        <f>"01099110999"</f>
        <v>01099110999</v>
      </c>
      <c r="I2426" s="1" t="s">
        <v>2498</v>
      </c>
      <c r="L2426" s="1" t="s">
        <v>44</v>
      </c>
      <c r="M2426" s="1" t="s">
        <v>1255</v>
      </c>
      <c r="AG2426" s="1" t="s">
        <v>4965</v>
      </c>
      <c r="AH2426" s="2">
        <v>45091</v>
      </c>
      <c r="AI2426" s="2">
        <v>45291</v>
      </c>
      <c r="AJ2426" s="2">
        <v>45091</v>
      </c>
    </row>
    <row r="2427" spans="1:36">
      <c r="A2427" s="1" t="str">
        <f>"Z2C3B8CE2B"</f>
        <v>Z2C3B8CE2B</v>
      </c>
      <c r="B2427" s="1" t="str">
        <f t="shared" si="57"/>
        <v>02406911202</v>
      </c>
      <c r="C2427" s="1" t="s">
        <v>13</v>
      </c>
      <c r="D2427" s="1" t="s">
        <v>1253</v>
      </c>
      <c r="E2427" s="1" t="s">
        <v>1260</v>
      </c>
      <c r="F2427" s="1" t="s">
        <v>49</v>
      </c>
      <c r="G2427" s="1" t="str">
        <f>"06032681006"</f>
        <v>06032681006</v>
      </c>
      <c r="I2427" s="1" t="s">
        <v>1351</v>
      </c>
      <c r="L2427" s="1" t="s">
        <v>44</v>
      </c>
      <c r="M2427" s="1" t="s">
        <v>1255</v>
      </c>
      <c r="AG2427" s="1" t="s">
        <v>124</v>
      </c>
      <c r="AH2427" s="2">
        <v>45091</v>
      </c>
      <c r="AI2427" s="2">
        <v>45291</v>
      </c>
      <c r="AJ2427" s="2">
        <v>45091</v>
      </c>
    </row>
    <row r="2428" spans="1:36">
      <c r="A2428" s="1" t="str">
        <f>"97085271EE"</f>
        <v>97085271EE</v>
      </c>
      <c r="B2428" s="1" t="str">
        <f t="shared" si="57"/>
        <v>02406911202</v>
      </c>
      <c r="C2428" s="1" t="s">
        <v>13</v>
      </c>
      <c r="D2428" s="1" t="s">
        <v>37</v>
      </c>
      <c r="E2428" s="1" t="s">
        <v>4966</v>
      </c>
      <c r="F2428" s="1" t="s">
        <v>117</v>
      </c>
      <c r="G2428" s="1" t="str">
        <f>"00921770095"</f>
        <v>00921770095</v>
      </c>
      <c r="I2428" s="1" t="s">
        <v>4967</v>
      </c>
      <c r="L2428" s="1" t="s">
        <v>44</v>
      </c>
      <c r="M2428" s="1" t="s">
        <v>4968</v>
      </c>
      <c r="AG2428" s="1" t="s">
        <v>4969</v>
      </c>
      <c r="AH2428" s="2">
        <v>45017</v>
      </c>
      <c r="AI2428" s="2">
        <v>46022</v>
      </c>
      <c r="AJ2428" s="2">
        <v>45017</v>
      </c>
    </row>
    <row r="2429" spans="1:36">
      <c r="A2429" s="1" t="str">
        <f>"Z9B3ADB255"</f>
        <v>Z9B3ADB255</v>
      </c>
      <c r="B2429" s="1" t="str">
        <f t="shared" si="57"/>
        <v>02406911202</v>
      </c>
      <c r="C2429" s="1" t="s">
        <v>13</v>
      </c>
      <c r="D2429" s="1" t="s">
        <v>1741</v>
      </c>
      <c r="E2429" s="1" t="s">
        <v>4970</v>
      </c>
      <c r="F2429" s="1" t="s">
        <v>39</v>
      </c>
      <c r="G2429" s="1" t="str">
        <f>"02067170403"</f>
        <v>02067170403</v>
      </c>
      <c r="I2429" s="1" t="s">
        <v>4971</v>
      </c>
      <c r="L2429" s="1" t="s">
        <v>44</v>
      </c>
      <c r="M2429" s="1" t="s">
        <v>4972</v>
      </c>
      <c r="AG2429" s="1" t="s">
        <v>124</v>
      </c>
      <c r="AH2429" s="2">
        <v>45091</v>
      </c>
      <c r="AI2429" s="2">
        <v>46203</v>
      </c>
      <c r="AJ2429" s="2">
        <v>45091</v>
      </c>
    </row>
    <row r="2430" spans="1:36">
      <c r="A2430" s="1" t="str">
        <f>"Z9B3ADB255"</f>
        <v>Z9B3ADB255</v>
      </c>
      <c r="B2430" s="1" t="str">
        <f t="shared" si="57"/>
        <v>02406911202</v>
      </c>
      <c r="C2430" s="1" t="s">
        <v>13</v>
      </c>
      <c r="D2430" s="1" t="s">
        <v>1741</v>
      </c>
      <c r="E2430" s="1" t="s">
        <v>4970</v>
      </c>
      <c r="F2430" s="1" t="s">
        <v>39</v>
      </c>
      <c r="G2430" s="1" t="str">
        <f>"03018511208"</f>
        <v>03018511208</v>
      </c>
      <c r="I2430" s="1" t="s">
        <v>4973</v>
      </c>
      <c r="L2430" s="1" t="s">
        <v>41</v>
      </c>
      <c r="AJ2430" s="2">
        <v>45091</v>
      </c>
    </row>
    <row r="2431" spans="1:36">
      <c r="A2431" s="1" t="str">
        <f>"Z9B3ADB255"</f>
        <v>Z9B3ADB255</v>
      </c>
      <c r="B2431" s="1" t="str">
        <f t="shared" si="57"/>
        <v>02406911202</v>
      </c>
      <c r="C2431" s="1" t="s">
        <v>13</v>
      </c>
      <c r="D2431" s="1" t="s">
        <v>1741</v>
      </c>
      <c r="E2431" s="1" t="s">
        <v>4970</v>
      </c>
      <c r="F2431" s="1" t="s">
        <v>39</v>
      </c>
      <c r="G2431" s="1" t="str">
        <f>"01032090076"</f>
        <v>01032090076</v>
      </c>
      <c r="I2431" s="1" t="s">
        <v>4974</v>
      </c>
      <c r="L2431" s="1" t="s">
        <v>41</v>
      </c>
      <c r="AJ2431" s="2">
        <v>45091</v>
      </c>
    </row>
    <row r="2432" spans="1:36">
      <c r="A2432" s="1" t="str">
        <f>"Z2D3B80D49"</f>
        <v>Z2D3B80D49</v>
      </c>
      <c r="B2432" s="1" t="str">
        <f t="shared" si="57"/>
        <v>02406911202</v>
      </c>
      <c r="C2432" s="1" t="s">
        <v>13</v>
      </c>
      <c r="D2432" s="1" t="s">
        <v>1312</v>
      </c>
      <c r="E2432" s="1" t="s">
        <v>4975</v>
      </c>
      <c r="F2432" s="1" t="s">
        <v>49</v>
      </c>
      <c r="G2432" s="1" t="str">
        <f>"02207200136"</f>
        <v>02207200136</v>
      </c>
      <c r="I2432" s="1" t="s">
        <v>4976</v>
      </c>
      <c r="L2432" s="1" t="s">
        <v>44</v>
      </c>
      <c r="M2432" s="1" t="s">
        <v>1314</v>
      </c>
      <c r="AG2432" s="1" t="s">
        <v>124</v>
      </c>
      <c r="AH2432" s="2">
        <v>45086</v>
      </c>
      <c r="AI2432" s="2">
        <v>46022</v>
      </c>
      <c r="AJ2432" s="2">
        <v>45086</v>
      </c>
    </row>
    <row r="2433" spans="1:36">
      <c r="A2433" s="1" t="str">
        <f>"ZEE3B9D738"</f>
        <v>ZEE3B9D738</v>
      </c>
      <c r="B2433" s="1" t="str">
        <f t="shared" si="57"/>
        <v>02406911202</v>
      </c>
      <c r="C2433" s="1" t="s">
        <v>13</v>
      </c>
      <c r="D2433" s="1" t="s">
        <v>1253</v>
      </c>
      <c r="E2433" s="1" t="s">
        <v>1260</v>
      </c>
      <c r="F2433" s="1" t="s">
        <v>49</v>
      </c>
      <c r="G2433" s="1" t="str">
        <f>"02803471206"</f>
        <v>02803471206</v>
      </c>
      <c r="I2433" s="1" t="s">
        <v>1638</v>
      </c>
      <c r="L2433" s="1" t="s">
        <v>44</v>
      </c>
      <c r="M2433" s="1" t="s">
        <v>1255</v>
      </c>
      <c r="AG2433" s="1" t="s">
        <v>1319</v>
      </c>
      <c r="AH2433" s="2">
        <v>45097</v>
      </c>
      <c r="AI2433" s="2">
        <v>45291</v>
      </c>
      <c r="AJ2433" s="2">
        <v>45097</v>
      </c>
    </row>
    <row r="2434" spans="1:36">
      <c r="A2434" s="1" t="str">
        <f>"Z9B3BB25BD"</f>
        <v>Z9B3BB25BD</v>
      </c>
      <c r="B2434" s="1" t="str">
        <f t="shared" si="57"/>
        <v>02406911202</v>
      </c>
      <c r="C2434" s="1" t="s">
        <v>13</v>
      </c>
      <c r="D2434" s="1" t="s">
        <v>205</v>
      </c>
      <c r="E2434" s="1" t="s">
        <v>4977</v>
      </c>
      <c r="F2434" s="1" t="s">
        <v>39</v>
      </c>
      <c r="G2434" s="1" t="str">
        <f>"00427050232"</f>
        <v>00427050232</v>
      </c>
      <c r="I2434" s="1" t="s">
        <v>4978</v>
      </c>
      <c r="L2434" s="1" t="s">
        <v>44</v>
      </c>
      <c r="M2434" s="1" t="s">
        <v>75</v>
      </c>
      <c r="AG2434" s="1" t="s">
        <v>4979</v>
      </c>
      <c r="AH2434" s="2">
        <v>45100</v>
      </c>
      <c r="AI2434" s="2">
        <v>45107</v>
      </c>
      <c r="AJ2434" s="2">
        <v>45100</v>
      </c>
    </row>
    <row r="2435" spans="1:36">
      <c r="A2435" s="1" t="str">
        <f>"9880902A45"</f>
        <v>9880902A45</v>
      </c>
      <c r="B2435" s="1" t="str">
        <f t="shared" si="57"/>
        <v>02406911202</v>
      </c>
      <c r="C2435" s="1" t="s">
        <v>13</v>
      </c>
      <c r="D2435" s="1" t="s">
        <v>1253</v>
      </c>
      <c r="E2435" s="1" t="s">
        <v>1260</v>
      </c>
      <c r="F2435" s="1" t="s">
        <v>49</v>
      </c>
      <c r="G2435" s="1" t="str">
        <f>"08082461008"</f>
        <v>08082461008</v>
      </c>
      <c r="I2435" s="1" t="s">
        <v>423</v>
      </c>
      <c r="L2435" s="1" t="s">
        <v>44</v>
      </c>
      <c r="M2435" s="1" t="s">
        <v>2739</v>
      </c>
      <c r="AG2435" s="1" t="s">
        <v>4980</v>
      </c>
      <c r="AH2435" s="2">
        <v>45105</v>
      </c>
      <c r="AI2435" s="2">
        <v>45291</v>
      </c>
      <c r="AJ2435" s="2">
        <v>45105</v>
      </c>
    </row>
    <row r="2436" spans="1:36">
      <c r="A2436" s="1" t="str">
        <f>"Z5E3BA95D6"</f>
        <v>Z5E3BA95D6</v>
      </c>
      <c r="B2436" s="1" t="str">
        <f t="shared" si="57"/>
        <v>02406911202</v>
      </c>
      <c r="C2436" s="1" t="s">
        <v>13</v>
      </c>
      <c r="D2436" s="1" t="s">
        <v>37</v>
      </c>
      <c r="E2436" s="1" t="s">
        <v>4981</v>
      </c>
      <c r="F2436" s="1" t="s">
        <v>117</v>
      </c>
      <c r="G2436" s="1" t="str">
        <f>"02344710484"</f>
        <v>02344710484</v>
      </c>
      <c r="I2436" s="1" t="s">
        <v>1747</v>
      </c>
      <c r="L2436" s="1" t="s">
        <v>44</v>
      </c>
      <c r="M2436" s="1" t="s">
        <v>4982</v>
      </c>
      <c r="AG2436" s="1" t="s">
        <v>124</v>
      </c>
      <c r="AH2436" s="2">
        <v>45105</v>
      </c>
      <c r="AI2436" s="2">
        <v>46022</v>
      </c>
      <c r="AJ2436" s="2">
        <v>45105</v>
      </c>
    </row>
    <row r="2437" spans="1:36">
      <c r="A2437" s="1" t="str">
        <f>"Z5F3BA9716"</f>
        <v>Z5F3BA9716</v>
      </c>
      <c r="B2437" s="1" t="str">
        <f t="shared" si="57"/>
        <v>02406911202</v>
      </c>
      <c r="C2437" s="1" t="s">
        <v>13</v>
      </c>
      <c r="D2437" s="1" t="s">
        <v>37</v>
      </c>
      <c r="E2437" s="1" t="s">
        <v>4863</v>
      </c>
      <c r="F2437" s="1" t="s">
        <v>117</v>
      </c>
      <c r="G2437" s="1" t="str">
        <f>"02158490595"</f>
        <v>02158490595</v>
      </c>
      <c r="I2437" s="1" t="s">
        <v>2067</v>
      </c>
      <c r="L2437" s="1" t="s">
        <v>44</v>
      </c>
      <c r="M2437" s="1" t="s">
        <v>4983</v>
      </c>
      <c r="AG2437" s="1" t="s">
        <v>124</v>
      </c>
      <c r="AH2437" s="2">
        <v>45105</v>
      </c>
      <c r="AI2437" s="2">
        <v>46022</v>
      </c>
      <c r="AJ2437" s="2">
        <v>45105</v>
      </c>
    </row>
    <row r="2438" spans="1:36">
      <c r="A2438" s="1" t="str">
        <f>"ZEC3BA97D5"</f>
        <v>ZEC3BA97D5</v>
      </c>
      <c r="B2438" s="1" t="str">
        <f t="shared" ref="B2438:B2501" si="58">"02406911202"</f>
        <v>02406911202</v>
      </c>
      <c r="C2438" s="1" t="s">
        <v>13</v>
      </c>
      <c r="D2438" s="1" t="s">
        <v>37</v>
      </c>
      <c r="E2438" s="1" t="s">
        <v>4984</v>
      </c>
      <c r="F2438" s="1" t="s">
        <v>117</v>
      </c>
      <c r="G2438" s="1" t="str">
        <f>"06647900965"</f>
        <v>06647900965</v>
      </c>
      <c r="I2438" s="1" t="s">
        <v>1720</v>
      </c>
      <c r="L2438" s="1" t="s">
        <v>44</v>
      </c>
      <c r="M2438" s="1" t="s">
        <v>4985</v>
      </c>
      <c r="AG2438" s="1" t="s">
        <v>124</v>
      </c>
      <c r="AH2438" s="2">
        <v>45105</v>
      </c>
      <c r="AI2438" s="2">
        <v>46022</v>
      </c>
      <c r="AJ2438" s="2">
        <v>45105</v>
      </c>
    </row>
    <row r="2439" spans="1:36">
      <c r="A2439" s="1" t="str">
        <f>"ZF83BA991B"</f>
        <v>ZF83BA991B</v>
      </c>
      <c r="B2439" s="1" t="str">
        <f t="shared" si="58"/>
        <v>02406911202</v>
      </c>
      <c r="C2439" s="1" t="s">
        <v>13</v>
      </c>
      <c r="D2439" s="1" t="s">
        <v>37</v>
      </c>
      <c r="E2439" s="1" t="s">
        <v>4986</v>
      </c>
      <c r="F2439" s="1" t="s">
        <v>117</v>
      </c>
      <c r="G2439" s="1" t="str">
        <f>"00882341001"</f>
        <v>00882341001</v>
      </c>
      <c r="I2439" s="1" t="s">
        <v>2815</v>
      </c>
      <c r="L2439" s="1" t="s">
        <v>44</v>
      </c>
      <c r="M2439" s="1" t="s">
        <v>911</v>
      </c>
      <c r="AG2439" s="1" t="s">
        <v>124</v>
      </c>
      <c r="AH2439" s="2">
        <v>45105</v>
      </c>
      <c r="AI2439" s="2">
        <v>46022</v>
      </c>
      <c r="AJ2439" s="2">
        <v>45105</v>
      </c>
    </row>
    <row r="2440" spans="1:36">
      <c r="A2440" s="1" t="str">
        <f>"Z4A3BA9945"</f>
        <v>Z4A3BA9945</v>
      </c>
      <c r="B2440" s="1" t="str">
        <f t="shared" si="58"/>
        <v>02406911202</v>
      </c>
      <c r="C2440" s="1" t="s">
        <v>13</v>
      </c>
      <c r="D2440" s="1" t="s">
        <v>37</v>
      </c>
      <c r="E2440" s="1" t="s">
        <v>4987</v>
      </c>
      <c r="F2440" s="1" t="s">
        <v>117</v>
      </c>
      <c r="G2440" s="1" t="str">
        <f>"00122890874"</f>
        <v>00122890874</v>
      </c>
      <c r="I2440" s="1" t="s">
        <v>2681</v>
      </c>
      <c r="L2440" s="1" t="s">
        <v>44</v>
      </c>
      <c r="M2440" s="1" t="s">
        <v>4988</v>
      </c>
      <c r="AG2440" s="1" t="s">
        <v>124</v>
      </c>
      <c r="AH2440" s="2">
        <v>45105</v>
      </c>
      <c r="AI2440" s="2">
        <v>46022</v>
      </c>
      <c r="AJ2440" s="2">
        <v>45105</v>
      </c>
    </row>
    <row r="2441" spans="1:36">
      <c r="A2441" s="1" t="str">
        <f>"Z5D3BA90AA"</f>
        <v>Z5D3BA90AA</v>
      </c>
      <c r="B2441" s="1" t="str">
        <f t="shared" si="58"/>
        <v>02406911202</v>
      </c>
      <c r="C2441" s="1" t="s">
        <v>13</v>
      </c>
      <c r="D2441" s="1" t="s">
        <v>1253</v>
      </c>
      <c r="E2441" s="1" t="s">
        <v>4351</v>
      </c>
      <c r="F2441" s="1" t="s">
        <v>49</v>
      </c>
      <c r="G2441" s="1" t="str">
        <f>"00503151201"</f>
        <v>00503151201</v>
      </c>
      <c r="I2441" s="1" t="s">
        <v>2329</v>
      </c>
      <c r="L2441" s="1" t="s">
        <v>44</v>
      </c>
      <c r="M2441" s="1" t="s">
        <v>1255</v>
      </c>
      <c r="AG2441" s="1" t="s">
        <v>124</v>
      </c>
      <c r="AH2441" s="2">
        <v>45106</v>
      </c>
      <c r="AI2441" s="2">
        <v>45291</v>
      </c>
      <c r="AJ2441" s="2">
        <v>45106</v>
      </c>
    </row>
    <row r="2442" spans="1:36">
      <c r="A2442" s="1" t="str">
        <f>"ZEC3AADFFD"</f>
        <v>ZEC3AADFFD</v>
      </c>
      <c r="B2442" s="1" t="str">
        <f t="shared" si="58"/>
        <v>02406911202</v>
      </c>
      <c r="C2442" s="1" t="s">
        <v>13</v>
      </c>
      <c r="D2442" s="1" t="s">
        <v>1312</v>
      </c>
      <c r="E2442" s="1" t="s">
        <v>4989</v>
      </c>
      <c r="F2442" s="1" t="s">
        <v>49</v>
      </c>
      <c r="G2442" s="1" t="str">
        <f>"04181370372"</f>
        <v>04181370372</v>
      </c>
      <c r="I2442" s="1" t="s">
        <v>2951</v>
      </c>
      <c r="L2442" s="1" t="s">
        <v>44</v>
      </c>
      <c r="M2442" s="1" t="s">
        <v>1314</v>
      </c>
      <c r="AG2442" s="1" t="s">
        <v>4990</v>
      </c>
      <c r="AH2442" s="2">
        <v>45021</v>
      </c>
      <c r="AI2442" s="2">
        <v>45777</v>
      </c>
      <c r="AJ2442" s="2">
        <v>45021</v>
      </c>
    </row>
    <row r="2443" spans="1:36">
      <c r="A2443" s="1" t="str">
        <f>"Z433A93AEB"</f>
        <v>Z433A93AEB</v>
      </c>
      <c r="B2443" s="1" t="str">
        <f t="shared" si="58"/>
        <v>02406911202</v>
      </c>
      <c r="C2443" s="1" t="s">
        <v>13</v>
      </c>
      <c r="D2443" s="1" t="s">
        <v>1253</v>
      </c>
      <c r="E2443" s="1" t="s">
        <v>1317</v>
      </c>
      <c r="F2443" s="1" t="s">
        <v>49</v>
      </c>
      <c r="G2443" s="1" t="str">
        <f>"01737830230"</f>
        <v>01737830230</v>
      </c>
      <c r="I2443" s="1" t="s">
        <v>1696</v>
      </c>
      <c r="L2443" s="1" t="s">
        <v>44</v>
      </c>
      <c r="M2443" s="1" t="s">
        <v>1255</v>
      </c>
      <c r="AG2443" s="1" t="s">
        <v>4991</v>
      </c>
      <c r="AH2443" s="2">
        <v>45022</v>
      </c>
      <c r="AI2443" s="2">
        <v>45291</v>
      </c>
      <c r="AJ2443" s="2">
        <v>45022</v>
      </c>
    </row>
    <row r="2444" spans="1:36">
      <c r="A2444" s="1" t="str">
        <f>"Z893AC6601"</f>
        <v>Z893AC6601</v>
      </c>
      <c r="B2444" s="1" t="str">
        <f t="shared" si="58"/>
        <v>02406911202</v>
      </c>
      <c r="C2444" s="1" t="s">
        <v>13</v>
      </c>
      <c r="D2444" s="1" t="s">
        <v>205</v>
      </c>
      <c r="E2444" s="1" t="s">
        <v>4992</v>
      </c>
      <c r="F2444" s="1" t="s">
        <v>49</v>
      </c>
      <c r="G2444" s="1" t="str">
        <f>"03078531203"</f>
        <v>03078531203</v>
      </c>
      <c r="I2444" s="1" t="s">
        <v>4443</v>
      </c>
      <c r="L2444" s="1" t="s">
        <v>44</v>
      </c>
      <c r="M2444" s="1" t="s">
        <v>4993</v>
      </c>
      <c r="AG2444" s="1" t="s">
        <v>4445</v>
      </c>
      <c r="AH2444" s="2">
        <v>44927</v>
      </c>
      <c r="AI2444" s="2">
        <v>45291</v>
      </c>
      <c r="AJ2444" s="2">
        <v>44927</v>
      </c>
    </row>
    <row r="2445" spans="1:36">
      <c r="A2445" s="1" t="str">
        <f>"ZD13ACB14C"</f>
        <v>ZD13ACB14C</v>
      </c>
      <c r="B2445" s="1" t="str">
        <f t="shared" si="58"/>
        <v>02406911202</v>
      </c>
      <c r="C2445" s="1" t="s">
        <v>13</v>
      </c>
      <c r="D2445" s="1" t="s">
        <v>1253</v>
      </c>
      <c r="E2445" s="1" t="s">
        <v>1254</v>
      </c>
      <c r="F2445" s="1" t="s">
        <v>49</v>
      </c>
      <c r="G2445" s="1" t="str">
        <f>"07351260158"</f>
        <v>07351260158</v>
      </c>
      <c r="I2445" s="1" t="s">
        <v>3035</v>
      </c>
      <c r="L2445" s="1" t="s">
        <v>44</v>
      </c>
      <c r="M2445" s="1" t="s">
        <v>1255</v>
      </c>
      <c r="AG2445" s="1" t="s">
        <v>4994</v>
      </c>
      <c r="AH2445" s="2">
        <v>45030</v>
      </c>
      <c r="AI2445" s="2">
        <v>45291</v>
      </c>
      <c r="AJ2445" s="2">
        <v>45030</v>
      </c>
    </row>
    <row r="2446" spans="1:36">
      <c r="A2446" s="1" t="str">
        <f>"Z143ACB448"</f>
        <v>Z143ACB448</v>
      </c>
      <c r="B2446" s="1" t="str">
        <f t="shared" si="58"/>
        <v>02406911202</v>
      </c>
      <c r="C2446" s="1" t="s">
        <v>13</v>
      </c>
      <c r="D2446" s="1" t="s">
        <v>1312</v>
      </c>
      <c r="E2446" s="1" t="s">
        <v>4995</v>
      </c>
      <c r="F2446" s="1" t="s">
        <v>49</v>
      </c>
      <c r="G2446" s="1" t="str">
        <f>"09012850153"</f>
        <v>09012850153</v>
      </c>
      <c r="I2446" s="1" t="s">
        <v>3674</v>
      </c>
      <c r="L2446" s="1" t="s">
        <v>44</v>
      </c>
      <c r="M2446" s="1" t="s">
        <v>3830</v>
      </c>
      <c r="AG2446" s="1" t="s">
        <v>4996</v>
      </c>
      <c r="AH2446" s="2">
        <v>45030</v>
      </c>
      <c r="AI2446" s="2">
        <v>45657</v>
      </c>
      <c r="AJ2446" s="2">
        <v>45030</v>
      </c>
    </row>
    <row r="2447" spans="1:36">
      <c r="A2447" s="1" t="str">
        <f>"9774247BC7"</f>
        <v>9774247BC7</v>
      </c>
      <c r="B2447" s="1" t="str">
        <f t="shared" si="58"/>
        <v>02406911202</v>
      </c>
      <c r="C2447" s="1" t="s">
        <v>13</v>
      </c>
      <c r="D2447" s="1" t="s">
        <v>37</v>
      </c>
      <c r="E2447" s="1" t="s">
        <v>4997</v>
      </c>
      <c r="F2447" s="1" t="s">
        <v>117</v>
      </c>
      <c r="G2447" s="1" t="str">
        <f>"02790240101"</f>
        <v>02790240101</v>
      </c>
      <c r="I2447" s="1" t="s">
        <v>275</v>
      </c>
      <c r="L2447" s="1" t="s">
        <v>44</v>
      </c>
      <c r="M2447" s="1" t="s">
        <v>1255</v>
      </c>
      <c r="AG2447" s="1" t="s">
        <v>4877</v>
      </c>
      <c r="AH2447" s="2">
        <v>45002</v>
      </c>
      <c r="AI2447" s="2">
        <v>46841</v>
      </c>
      <c r="AJ2447" s="2">
        <v>45002</v>
      </c>
    </row>
    <row r="2448" spans="1:36">
      <c r="A2448" s="1" t="str">
        <f>"97972312C9"</f>
        <v>97972312C9</v>
      </c>
      <c r="B2448" s="1" t="str">
        <f t="shared" si="58"/>
        <v>02406911202</v>
      </c>
      <c r="C2448" s="1" t="s">
        <v>13</v>
      </c>
      <c r="D2448" s="1" t="s">
        <v>37</v>
      </c>
      <c r="E2448" s="1" t="s">
        <v>4998</v>
      </c>
      <c r="F2448" s="1" t="s">
        <v>39</v>
      </c>
      <c r="G2448" s="1" t="str">
        <f>"13774921004"</f>
        <v>13774921004</v>
      </c>
      <c r="I2448" s="1" t="s">
        <v>889</v>
      </c>
      <c r="L2448" s="1" t="s">
        <v>44</v>
      </c>
      <c r="M2448" s="1" t="s">
        <v>228</v>
      </c>
      <c r="AG2448" s="1" t="s">
        <v>4999</v>
      </c>
      <c r="AH2448" s="2">
        <v>45047</v>
      </c>
      <c r="AI2448" s="2">
        <v>45186</v>
      </c>
      <c r="AJ2448" s="2">
        <v>45047</v>
      </c>
    </row>
    <row r="2449" spans="1:36">
      <c r="A2449" s="1" t="str">
        <f t="shared" ref="A2449:A2455" si="59">"Z043A7C8F8"</f>
        <v>Z043A7C8F8</v>
      </c>
      <c r="B2449" s="1" t="str">
        <f t="shared" si="58"/>
        <v>02406911202</v>
      </c>
      <c r="C2449" s="1" t="s">
        <v>13</v>
      </c>
      <c r="D2449" s="1" t="s">
        <v>1741</v>
      </c>
      <c r="E2449" s="1" t="s">
        <v>5000</v>
      </c>
      <c r="F2449" s="1" t="s">
        <v>39</v>
      </c>
      <c r="G2449" s="1" t="str">
        <f>"02138390360"</f>
        <v>02138390360</v>
      </c>
      <c r="I2449" s="1" t="s">
        <v>1879</v>
      </c>
      <c r="L2449" s="1" t="s">
        <v>44</v>
      </c>
      <c r="M2449" s="1" t="s">
        <v>5001</v>
      </c>
      <c r="AG2449" s="1" t="s">
        <v>5001</v>
      </c>
      <c r="AH2449" s="2">
        <v>45048</v>
      </c>
      <c r="AI2449" s="2">
        <v>45291</v>
      </c>
      <c r="AJ2449" s="2">
        <v>45048</v>
      </c>
    </row>
    <row r="2450" spans="1:36">
      <c r="A2450" s="1" t="str">
        <f t="shared" si="59"/>
        <v>Z043A7C8F8</v>
      </c>
      <c r="B2450" s="1" t="str">
        <f t="shared" si="58"/>
        <v>02406911202</v>
      </c>
      <c r="C2450" s="1" t="s">
        <v>13</v>
      </c>
      <c r="D2450" s="1" t="s">
        <v>1741</v>
      </c>
      <c r="E2450" s="1" t="s">
        <v>5000</v>
      </c>
      <c r="F2450" s="1" t="s">
        <v>39</v>
      </c>
      <c r="G2450" s="1" t="str">
        <f>"01813500541"</f>
        <v>01813500541</v>
      </c>
      <c r="I2450" s="1" t="s">
        <v>2137</v>
      </c>
      <c r="L2450" s="1" t="s">
        <v>41</v>
      </c>
      <c r="AJ2450" s="2">
        <v>45048</v>
      </c>
    </row>
    <row r="2451" spans="1:36">
      <c r="A2451" s="1" t="str">
        <f t="shared" si="59"/>
        <v>Z043A7C8F8</v>
      </c>
      <c r="B2451" s="1" t="str">
        <f t="shared" si="58"/>
        <v>02406911202</v>
      </c>
      <c r="C2451" s="1" t="s">
        <v>13</v>
      </c>
      <c r="D2451" s="1" t="s">
        <v>1741</v>
      </c>
      <c r="E2451" s="1" t="s">
        <v>5000</v>
      </c>
      <c r="F2451" s="1" t="s">
        <v>39</v>
      </c>
      <c r="G2451" s="1" t="str">
        <f>"00740430335"</f>
        <v>00740430335</v>
      </c>
      <c r="I2451" s="1" t="s">
        <v>1888</v>
      </c>
      <c r="L2451" s="1" t="s">
        <v>41</v>
      </c>
      <c r="AJ2451" s="2">
        <v>45048</v>
      </c>
    </row>
    <row r="2452" spans="1:36">
      <c r="A2452" s="1" t="str">
        <f t="shared" si="59"/>
        <v>Z043A7C8F8</v>
      </c>
      <c r="B2452" s="1" t="str">
        <f t="shared" si="58"/>
        <v>02406911202</v>
      </c>
      <c r="C2452" s="1" t="s">
        <v>13</v>
      </c>
      <c r="D2452" s="1" t="s">
        <v>1741</v>
      </c>
      <c r="E2452" s="1" t="s">
        <v>5000</v>
      </c>
      <c r="F2452" s="1" t="s">
        <v>39</v>
      </c>
      <c r="G2452" s="1" t="str">
        <f>"03359340837"</f>
        <v>03359340837</v>
      </c>
      <c r="I2452" s="1" t="s">
        <v>1881</v>
      </c>
      <c r="L2452" s="1" t="s">
        <v>41</v>
      </c>
      <c r="AJ2452" s="2">
        <v>45048</v>
      </c>
    </row>
    <row r="2453" spans="1:36">
      <c r="A2453" s="1" t="str">
        <f t="shared" si="59"/>
        <v>Z043A7C8F8</v>
      </c>
      <c r="B2453" s="1" t="str">
        <f t="shared" si="58"/>
        <v>02406911202</v>
      </c>
      <c r="C2453" s="1" t="s">
        <v>13</v>
      </c>
      <c r="D2453" s="1" t="s">
        <v>1741</v>
      </c>
      <c r="E2453" s="1" t="s">
        <v>5000</v>
      </c>
      <c r="F2453" s="1" t="s">
        <v>39</v>
      </c>
      <c r="G2453" s="1" t="str">
        <f>"02376321200"</f>
        <v>02376321200</v>
      </c>
      <c r="I2453" s="1" t="s">
        <v>1884</v>
      </c>
      <c r="L2453" s="1" t="s">
        <v>41</v>
      </c>
      <c r="AJ2453" s="2">
        <v>45048</v>
      </c>
    </row>
    <row r="2454" spans="1:36">
      <c r="A2454" s="1" t="str">
        <f t="shared" si="59"/>
        <v>Z043A7C8F8</v>
      </c>
      <c r="B2454" s="1" t="str">
        <f t="shared" si="58"/>
        <v>02406911202</v>
      </c>
      <c r="C2454" s="1" t="s">
        <v>13</v>
      </c>
      <c r="D2454" s="1" t="s">
        <v>1741</v>
      </c>
      <c r="E2454" s="1" t="s">
        <v>5000</v>
      </c>
      <c r="F2454" s="1" t="s">
        <v>39</v>
      </c>
      <c r="G2454" s="1" t="str">
        <f>"01486330309"</f>
        <v>01486330309</v>
      </c>
      <c r="I2454" s="1" t="s">
        <v>2134</v>
      </c>
      <c r="L2454" s="1" t="s">
        <v>41</v>
      </c>
      <c r="AJ2454" s="2">
        <v>45048</v>
      </c>
    </row>
    <row r="2455" spans="1:36">
      <c r="A2455" s="1" t="str">
        <f t="shared" si="59"/>
        <v>Z043A7C8F8</v>
      </c>
      <c r="B2455" s="1" t="str">
        <f t="shared" si="58"/>
        <v>02406911202</v>
      </c>
      <c r="C2455" s="1" t="s">
        <v>13</v>
      </c>
      <c r="D2455" s="1" t="s">
        <v>1741</v>
      </c>
      <c r="E2455" s="1" t="s">
        <v>5000</v>
      </c>
      <c r="F2455" s="1" t="s">
        <v>39</v>
      </c>
      <c r="G2455" s="1" t="str">
        <f>"02169281207"</f>
        <v>02169281207</v>
      </c>
      <c r="I2455" s="1" t="s">
        <v>1524</v>
      </c>
      <c r="L2455" s="1" t="s">
        <v>41</v>
      </c>
      <c r="AJ2455" s="2">
        <v>45048</v>
      </c>
    </row>
    <row r="2456" spans="1:36">
      <c r="A2456" s="1" t="str">
        <f>"97915502AD"</f>
        <v>97915502AD</v>
      </c>
      <c r="B2456" s="1" t="str">
        <f t="shared" si="58"/>
        <v>02406911202</v>
      </c>
      <c r="C2456" s="1" t="s">
        <v>13</v>
      </c>
      <c r="D2456" s="1" t="s">
        <v>37</v>
      </c>
      <c r="E2456" s="1" t="s">
        <v>5002</v>
      </c>
      <c r="F2456" s="1" t="s">
        <v>117</v>
      </c>
      <c r="G2456" s="1" t="str">
        <f>"05359681003"</f>
        <v>05359681003</v>
      </c>
      <c r="I2456" s="1" t="s">
        <v>5003</v>
      </c>
      <c r="L2456" s="1" t="s">
        <v>44</v>
      </c>
      <c r="M2456" s="1" t="s">
        <v>5004</v>
      </c>
      <c r="AG2456" s="1" t="s">
        <v>5004</v>
      </c>
      <c r="AH2456" s="2">
        <v>45051</v>
      </c>
      <c r="AI2456" s="2">
        <v>45291</v>
      </c>
      <c r="AJ2456" s="2">
        <v>45051</v>
      </c>
    </row>
    <row r="2457" spans="1:36">
      <c r="A2457" s="1" t="str">
        <f>"9759289033"</f>
        <v>9759289033</v>
      </c>
      <c r="B2457" s="1" t="str">
        <f t="shared" si="58"/>
        <v>02406911202</v>
      </c>
      <c r="C2457" s="1" t="s">
        <v>13</v>
      </c>
      <c r="D2457" s="1" t="s">
        <v>37</v>
      </c>
      <c r="E2457" s="1" t="s">
        <v>5005</v>
      </c>
      <c r="F2457" s="1" t="s">
        <v>39</v>
      </c>
      <c r="G2457" s="1" t="str">
        <f>"06814140965"</f>
        <v>06814140965</v>
      </c>
      <c r="I2457" s="1" t="s">
        <v>550</v>
      </c>
      <c r="L2457" s="1" t="s">
        <v>44</v>
      </c>
      <c r="M2457" s="1" t="s">
        <v>5006</v>
      </c>
      <c r="AG2457" s="1" t="s">
        <v>124</v>
      </c>
      <c r="AH2457" s="2">
        <v>45047</v>
      </c>
      <c r="AI2457" s="2">
        <v>46142</v>
      </c>
      <c r="AJ2457" s="2">
        <v>45047</v>
      </c>
    </row>
    <row r="2458" spans="1:36">
      <c r="A2458" s="1" t="str">
        <f>"Z523B122BA"</f>
        <v>Z523B122BA</v>
      </c>
      <c r="B2458" s="1" t="str">
        <f t="shared" si="58"/>
        <v>02406911202</v>
      </c>
      <c r="C2458" s="1" t="s">
        <v>13</v>
      </c>
      <c r="D2458" s="1" t="s">
        <v>205</v>
      </c>
      <c r="E2458" s="1" t="s">
        <v>5007</v>
      </c>
      <c r="F2458" s="1" t="s">
        <v>49</v>
      </c>
      <c r="G2458" s="1" t="str">
        <f>"02814021206"</f>
        <v>02814021206</v>
      </c>
      <c r="I2458" s="1" t="s">
        <v>5008</v>
      </c>
      <c r="L2458" s="1" t="s">
        <v>44</v>
      </c>
      <c r="M2458" s="1" t="s">
        <v>5009</v>
      </c>
      <c r="AG2458" s="1" t="s">
        <v>124</v>
      </c>
      <c r="AH2458" s="2">
        <v>44927</v>
      </c>
      <c r="AI2458" s="2">
        <v>45291</v>
      </c>
      <c r="AJ2458" s="2">
        <v>44927</v>
      </c>
    </row>
    <row r="2459" spans="1:36">
      <c r="A2459" s="1" t="str">
        <f>"Z2F3B12414"</f>
        <v>Z2F3B12414</v>
      </c>
      <c r="B2459" s="1" t="str">
        <f t="shared" si="58"/>
        <v>02406911202</v>
      </c>
      <c r="C2459" s="1" t="s">
        <v>13</v>
      </c>
      <c r="D2459" s="1" t="s">
        <v>205</v>
      </c>
      <c r="E2459" s="1" t="s">
        <v>5010</v>
      </c>
      <c r="F2459" s="1" t="s">
        <v>49</v>
      </c>
      <c r="G2459" s="1" t="str">
        <f>"00216331207"</f>
        <v>00216331207</v>
      </c>
      <c r="I2459" s="1" t="s">
        <v>5011</v>
      </c>
      <c r="L2459" s="1" t="s">
        <v>44</v>
      </c>
      <c r="M2459" s="1" t="s">
        <v>5012</v>
      </c>
      <c r="AG2459" s="1" t="s">
        <v>5013</v>
      </c>
      <c r="AH2459" s="2">
        <v>44927</v>
      </c>
      <c r="AI2459" s="2">
        <v>45291</v>
      </c>
      <c r="AJ2459" s="2">
        <v>44927</v>
      </c>
    </row>
    <row r="2460" spans="1:36">
      <c r="A2460" s="1" t="str">
        <f>"Z273B5F746"</f>
        <v>Z273B5F746</v>
      </c>
      <c r="B2460" s="1" t="str">
        <f t="shared" si="58"/>
        <v>02406911202</v>
      </c>
      <c r="C2460" s="1" t="s">
        <v>13</v>
      </c>
      <c r="D2460" s="1" t="s">
        <v>1741</v>
      </c>
      <c r="E2460" s="1" t="s">
        <v>5014</v>
      </c>
      <c r="F2460" s="1" t="s">
        <v>39</v>
      </c>
      <c r="G2460" s="1" t="str">
        <f>"13395360152"</f>
        <v>13395360152</v>
      </c>
      <c r="I2460" s="1" t="s">
        <v>5015</v>
      </c>
      <c r="L2460" s="1" t="s">
        <v>44</v>
      </c>
      <c r="M2460" s="1" t="s">
        <v>5016</v>
      </c>
      <c r="AG2460" s="1" t="s">
        <v>124</v>
      </c>
      <c r="AH2460" s="2">
        <v>45076</v>
      </c>
      <c r="AI2460" s="2">
        <v>45291</v>
      </c>
      <c r="AJ2460" s="2">
        <v>45076</v>
      </c>
    </row>
    <row r="2461" spans="1:36">
      <c r="A2461" s="1" t="str">
        <f>"ZD23B89200"</f>
        <v>ZD23B89200</v>
      </c>
      <c r="B2461" s="1" t="str">
        <f t="shared" si="58"/>
        <v>02406911202</v>
      </c>
      <c r="C2461" s="1" t="s">
        <v>13</v>
      </c>
      <c r="D2461" s="1" t="s">
        <v>1253</v>
      </c>
      <c r="E2461" s="1" t="s">
        <v>1262</v>
      </c>
      <c r="F2461" s="1" t="s">
        <v>49</v>
      </c>
      <c r="G2461" s="1" t="str">
        <f>"01620460186"</f>
        <v>01620460186</v>
      </c>
      <c r="I2461" s="1" t="s">
        <v>3386</v>
      </c>
      <c r="L2461" s="1" t="s">
        <v>44</v>
      </c>
      <c r="M2461" s="1" t="s">
        <v>153</v>
      </c>
      <c r="AG2461" s="1" t="s">
        <v>124</v>
      </c>
      <c r="AH2461" s="2">
        <v>45091</v>
      </c>
      <c r="AI2461" s="2">
        <v>45291</v>
      </c>
      <c r="AJ2461" s="2">
        <v>45091</v>
      </c>
    </row>
    <row r="2462" spans="1:36">
      <c r="A2462" s="1" t="str">
        <f t="shared" ref="A2462:A2467" si="60">"ZF53BB0230"</f>
        <v>ZF53BB0230</v>
      </c>
      <c r="B2462" s="1" t="str">
        <f t="shared" si="58"/>
        <v>02406911202</v>
      </c>
      <c r="C2462" s="1" t="s">
        <v>13</v>
      </c>
      <c r="D2462" s="1" t="s">
        <v>1257</v>
      </c>
      <c r="E2462" s="1" t="s">
        <v>5017</v>
      </c>
      <c r="F2462" s="1" t="s">
        <v>49</v>
      </c>
      <c r="G2462" s="1" t="str">
        <f>"03698030289"</f>
        <v>03698030289</v>
      </c>
      <c r="I2462" s="1" t="s">
        <v>4233</v>
      </c>
      <c r="L2462" s="1" t="s">
        <v>41</v>
      </c>
      <c r="AJ2462" s="2">
        <v>45103</v>
      </c>
    </row>
    <row r="2463" spans="1:36">
      <c r="A2463" s="1" t="str">
        <f t="shared" si="60"/>
        <v>ZF53BB0230</v>
      </c>
      <c r="B2463" s="1" t="str">
        <f t="shared" si="58"/>
        <v>02406911202</v>
      </c>
      <c r="C2463" s="1" t="s">
        <v>13</v>
      </c>
      <c r="D2463" s="1" t="s">
        <v>1257</v>
      </c>
      <c r="E2463" s="1" t="s">
        <v>5017</v>
      </c>
      <c r="F2463" s="1" t="s">
        <v>49</v>
      </c>
      <c r="G2463" s="1" t="str">
        <f>"01154520520"</f>
        <v>01154520520</v>
      </c>
      <c r="I2463" s="1" t="s">
        <v>5018</v>
      </c>
      <c r="L2463" s="1" t="s">
        <v>41</v>
      </c>
      <c r="AJ2463" s="2">
        <v>45103</v>
      </c>
    </row>
    <row r="2464" spans="1:36">
      <c r="A2464" s="1" t="str">
        <f t="shared" si="60"/>
        <v>ZF53BB0230</v>
      </c>
      <c r="B2464" s="1" t="str">
        <f t="shared" si="58"/>
        <v>02406911202</v>
      </c>
      <c r="C2464" s="1" t="s">
        <v>13</v>
      </c>
      <c r="D2464" s="1" t="s">
        <v>1257</v>
      </c>
      <c r="E2464" s="1" t="s">
        <v>5017</v>
      </c>
      <c r="F2464" s="1" t="s">
        <v>49</v>
      </c>
      <c r="G2464" s="1" t="str">
        <f>"03565511007"</f>
        <v>03565511007</v>
      </c>
      <c r="I2464" s="1" t="s">
        <v>5019</v>
      </c>
      <c r="L2464" s="1" t="s">
        <v>41</v>
      </c>
      <c r="AJ2464" s="2">
        <v>45103</v>
      </c>
    </row>
    <row r="2465" spans="1:36">
      <c r="A2465" s="1" t="str">
        <f t="shared" si="60"/>
        <v>ZF53BB0230</v>
      </c>
      <c r="B2465" s="1" t="str">
        <f t="shared" si="58"/>
        <v>02406911202</v>
      </c>
      <c r="C2465" s="1" t="s">
        <v>13</v>
      </c>
      <c r="D2465" s="1" t="s">
        <v>1257</v>
      </c>
      <c r="E2465" s="1" t="s">
        <v>5017</v>
      </c>
      <c r="F2465" s="1" t="s">
        <v>49</v>
      </c>
      <c r="G2465" s="1" t="str">
        <f>"02737030151"</f>
        <v>02737030151</v>
      </c>
      <c r="I2465" s="1" t="s">
        <v>5020</v>
      </c>
      <c r="L2465" s="1" t="s">
        <v>41</v>
      </c>
      <c r="AJ2465" s="2">
        <v>45103</v>
      </c>
    </row>
    <row r="2466" spans="1:36">
      <c r="A2466" s="1" t="str">
        <f t="shared" si="60"/>
        <v>ZF53BB0230</v>
      </c>
      <c r="B2466" s="1" t="str">
        <f t="shared" si="58"/>
        <v>02406911202</v>
      </c>
      <c r="C2466" s="1" t="s">
        <v>13</v>
      </c>
      <c r="D2466" s="1" t="s">
        <v>1257</v>
      </c>
      <c r="E2466" s="1" t="s">
        <v>5017</v>
      </c>
      <c r="F2466" s="1" t="s">
        <v>49</v>
      </c>
      <c r="G2466" s="1" t="str">
        <f>"05025030288"</f>
        <v>05025030288</v>
      </c>
      <c r="I2466" s="1" t="s">
        <v>1450</v>
      </c>
      <c r="L2466" s="1" t="s">
        <v>41</v>
      </c>
      <c r="AJ2466" s="2">
        <v>45103</v>
      </c>
    </row>
    <row r="2467" spans="1:36">
      <c r="A2467" s="1" t="str">
        <f t="shared" si="60"/>
        <v>ZF53BB0230</v>
      </c>
      <c r="B2467" s="1" t="str">
        <f t="shared" si="58"/>
        <v>02406911202</v>
      </c>
      <c r="C2467" s="1" t="s">
        <v>13</v>
      </c>
      <c r="D2467" s="1" t="s">
        <v>1257</v>
      </c>
      <c r="E2467" s="1" t="s">
        <v>5017</v>
      </c>
      <c r="F2467" s="1" t="s">
        <v>49</v>
      </c>
      <c r="G2467" s="1" t="str">
        <f>"07904840159"</f>
        <v>07904840159</v>
      </c>
      <c r="I2467" s="1" t="s">
        <v>2581</v>
      </c>
      <c r="L2467" s="1" t="s">
        <v>44</v>
      </c>
      <c r="M2467" s="1" t="s">
        <v>5021</v>
      </c>
      <c r="AG2467" s="1" t="s">
        <v>124</v>
      </c>
      <c r="AH2467" s="2">
        <v>45103</v>
      </c>
      <c r="AI2467" s="2">
        <v>45550</v>
      </c>
      <c r="AJ2467" s="2">
        <v>45103</v>
      </c>
    </row>
    <row r="2468" spans="1:36">
      <c r="A2468" s="1" t="str">
        <f>"9343063B7C"</f>
        <v>9343063B7C</v>
      </c>
      <c r="B2468" s="1" t="str">
        <f t="shared" si="58"/>
        <v>02406911202</v>
      </c>
      <c r="C2468" s="1" t="s">
        <v>13</v>
      </c>
      <c r="D2468" s="1" t="s">
        <v>37</v>
      </c>
      <c r="E2468" s="1" t="s">
        <v>5022</v>
      </c>
      <c r="F2468" s="1" t="s">
        <v>165</v>
      </c>
      <c r="G2468" s="1" t="str">
        <f>"00967720285"</f>
        <v>00967720285</v>
      </c>
      <c r="I2468" s="1" t="s">
        <v>664</v>
      </c>
      <c r="L2468" s="1" t="s">
        <v>44</v>
      </c>
      <c r="M2468" s="1" t="s">
        <v>5023</v>
      </c>
      <c r="AG2468" s="1" t="s">
        <v>124</v>
      </c>
      <c r="AH2468" s="2">
        <v>45068</v>
      </c>
      <c r="AI2468" s="2">
        <v>45838</v>
      </c>
      <c r="AJ2468" s="2">
        <v>45068</v>
      </c>
    </row>
    <row r="2469" spans="1:36">
      <c r="A2469" s="1" t="str">
        <f>"ZCB3BBB60F"</f>
        <v>ZCB3BBB60F</v>
      </c>
      <c r="B2469" s="1" t="str">
        <f t="shared" si="58"/>
        <v>02406911202</v>
      </c>
      <c r="C2469" s="1" t="s">
        <v>13</v>
      </c>
      <c r="D2469" s="1" t="s">
        <v>1741</v>
      </c>
      <c r="E2469" s="1" t="s">
        <v>5024</v>
      </c>
      <c r="F2469" s="1" t="s">
        <v>49</v>
      </c>
      <c r="G2469" s="1" t="str">
        <f>"02908570043"</f>
        <v>02908570043</v>
      </c>
      <c r="I2469" s="1" t="s">
        <v>4798</v>
      </c>
      <c r="L2469" s="1" t="s">
        <v>44</v>
      </c>
      <c r="M2469" s="1" t="s">
        <v>5025</v>
      </c>
      <c r="AG2469" s="1" t="s">
        <v>124</v>
      </c>
      <c r="AH2469" s="2">
        <v>45105</v>
      </c>
      <c r="AI2469" s="2">
        <v>45291</v>
      </c>
      <c r="AJ2469" s="2">
        <v>45105</v>
      </c>
    </row>
    <row r="2470" spans="1:36">
      <c r="A2470" s="1" t="str">
        <f>"9768321180"</f>
        <v>9768321180</v>
      </c>
      <c r="B2470" s="1" t="str">
        <f t="shared" si="58"/>
        <v>02406911202</v>
      </c>
      <c r="C2470" s="1" t="s">
        <v>13</v>
      </c>
      <c r="D2470" s="1" t="s">
        <v>37</v>
      </c>
      <c r="E2470" s="1" t="s">
        <v>5026</v>
      </c>
      <c r="F2470" s="1" t="s">
        <v>117</v>
      </c>
      <c r="G2470" s="1" t="str">
        <f>"00530130673"</f>
        <v>00530130673</v>
      </c>
      <c r="I2470" s="1" t="s">
        <v>2298</v>
      </c>
      <c r="L2470" s="1" t="s">
        <v>44</v>
      </c>
      <c r="M2470" s="1" t="s">
        <v>5027</v>
      </c>
      <c r="AG2470" s="1" t="s">
        <v>124</v>
      </c>
      <c r="AH2470" s="2">
        <v>45017</v>
      </c>
      <c r="AI2470" s="2">
        <v>46477</v>
      </c>
      <c r="AJ2470" s="2">
        <v>45017</v>
      </c>
    </row>
    <row r="2471" spans="1:36">
      <c r="A2471" s="1" t="str">
        <f>"ZC53ABC5B1"</f>
        <v>ZC53ABC5B1</v>
      </c>
      <c r="B2471" s="1" t="str">
        <f t="shared" si="58"/>
        <v>02406911202</v>
      </c>
      <c r="C2471" s="1" t="s">
        <v>13</v>
      </c>
      <c r="D2471" s="1" t="s">
        <v>37</v>
      </c>
      <c r="E2471" s="1" t="s">
        <v>5028</v>
      </c>
      <c r="F2471" s="1" t="s">
        <v>117</v>
      </c>
      <c r="G2471" s="1" t="str">
        <f>"00530130673"</f>
        <v>00530130673</v>
      </c>
      <c r="I2471" s="1" t="s">
        <v>2298</v>
      </c>
      <c r="L2471" s="1" t="s">
        <v>44</v>
      </c>
      <c r="M2471" s="1" t="s">
        <v>5029</v>
      </c>
      <c r="AG2471" s="1" t="s">
        <v>124</v>
      </c>
      <c r="AH2471" s="2">
        <v>45017</v>
      </c>
      <c r="AI2471" s="2">
        <v>46477</v>
      </c>
      <c r="AJ2471" s="2">
        <v>45017</v>
      </c>
    </row>
    <row r="2472" spans="1:36">
      <c r="A2472" s="1" t="str">
        <f>"Z343ABC5D4"</f>
        <v>Z343ABC5D4</v>
      </c>
      <c r="B2472" s="1" t="str">
        <f t="shared" si="58"/>
        <v>02406911202</v>
      </c>
      <c r="C2472" s="1" t="s">
        <v>13</v>
      </c>
      <c r="D2472" s="1" t="s">
        <v>37</v>
      </c>
      <c r="E2472" s="1" t="s">
        <v>5030</v>
      </c>
      <c r="F2472" s="1" t="s">
        <v>117</v>
      </c>
      <c r="G2472" s="1" t="str">
        <f>"00530130673"</f>
        <v>00530130673</v>
      </c>
      <c r="I2472" s="1" t="s">
        <v>2298</v>
      </c>
      <c r="L2472" s="1" t="s">
        <v>44</v>
      </c>
      <c r="M2472" s="1" t="s">
        <v>5031</v>
      </c>
      <c r="AG2472" s="1" t="s">
        <v>5032</v>
      </c>
      <c r="AH2472" s="2">
        <v>45017</v>
      </c>
      <c r="AI2472" s="2">
        <v>46477</v>
      </c>
      <c r="AJ2472" s="2">
        <v>45017</v>
      </c>
    </row>
    <row r="2473" spans="1:36">
      <c r="A2473" s="1" t="str">
        <f>"9787873850"</f>
        <v>9787873850</v>
      </c>
      <c r="B2473" s="1" t="str">
        <f t="shared" si="58"/>
        <v>02406911202</v>
      </c>
      <c r="C2473" s="1" t="s">
        <v>13</v>
      </c>
      <c r="D2473" s="1" t="s">
        <v>37</v>
      </c>
      <c r="E2473" s="1" t="s">
        <v>5033</v>
      </c>
      <c r="F2473" s="1" t="s">
        <v>39</v>
      </c>
      <c r="G2473" s="1" t="str">
        <f>"07279701002"</f>
        <v>07279701002</v>
      </c>
      <c r="I2473" s="1" t="s">
        <v>96</v>
      </c>
      <c r="L2473" s="1" t="s">
        <v>44</v>
      </c>
      <c r="M2473" s="1" t="s">
        <v>148</v>
      </c>
      <c r="AG2473" s="1" t="s">
        <v>5034</v>
      </c>
      <c r="AH2473" s="2">
        <v>45047</v>
      </c>
      <c r="AI2473" s="2">
        <v>45229</v>
      </c>
      <c r="AJ2473" s="2">
        <v>45047</v>
      </c>
    </row>
    <row r="2474" spans="1:36">
      <c r="A2474" s="1" t="str">
        <f>"Z6A3B7D81D"</f>
        <v>Z6A3B7D81D</v>
      </c>
      <c r="B2474" s="1" t="str">
        <f t="shared" si="58"/>
        <v>02406911202</v>
      </c>
      <c r="C2474" s="1" t="s">
        <v>13</v>
      </c>
      <c r="D2474" s="1" t="s">
        <v>1253</v>
      </c>
      <c r="E2474" s="1" t="s">
        <v>1260</v>
      </c>
      <c r="F2474" s="1" t="s">
        <v>49</v>
      </c>
      <c r="G2474" s="1" t="str">
        <f>"09270550016"</f>
        <v>09270550016</v>
      </c>
      <c r="I2474" s="1" t="s">
        <v>1328</v>
      </c>
      <c r="L2474" s="1" t="s">
        <v>44</v>
      </c>
      <c r="M2474" s="1" t="s">
        <v>1255</v>
      </c>
      <c r="AG2474" s="1" t="s">
        <v>5035</v>
      </c>
      <c r="AH2474" s="2">
        <v>45086</v>
      </c>
      <c r="AI2474" s="2">
        <v>45291</v>
      </c>
      <c r="AJ2474" s="2">
        <v>45086</v>
      </c>
    </row>
    <row r="2475" spans="1:36">
      <c r="A2475" s="1" t="str">
        <f>"9908671DF8"</f>
        <v>9908671DF8</v>
      </c>
      <c r="B2475" s="1" t="str">
        <f t="shared" si="58"/>
        <v>02406911202</v>
      </c>
      <c r="C2475" s="1" t="s">
        <v>13</v>
      </c>
      <c r="D2475" s="1" t="s">
        <v>1253</v>
      </c>
      <c r="E2475" s="1" t="s">
        <v>1260</v>
      </c>
      <c r="F2475" s="1" t="s">
        <v>49</v>
      </c>
      <c r="G2475" s="1" t="str">
        <f>"02803471206"</f>
        <v>02803471206</v>
      </c>
      <c r="I2475" s="1" t="s">
        <v>1638</v>
      </c>
      <c r="L2475" s="1" t="s">
        <v>44</v>
      </c>
      <c r="M2475" s="1" t="s">
        <v>2739</v>
      </c>
      <c r="AG2475" s="1" t="s">
        <v>916</v>
      </c>
      <c r="AH2475" s="2">
        <v>45104</v>
      </c>
      <c r="AI2475" s="2">
        <v>45291</v>
      </c>
      <c r="AJ2475" s="2">
        <v>45104</v>
      </c>
    </row>
    <row r="2476" spans="1:36">
      <c r="A2476" s="1" t="str">
        <f>"Z273BB7F12"</f>
        <v>Z273BB7F12</v>
      </c>
      <c r="B2476" s="1" t="str">
        <f t="shared" si="58"/>
        <v>02406911202</v>
      </c>
      <c r="C2476" s="1" t="s">
        <v>13</v>
      </c>
      <c r="D2476" s="1" t="s">
        <v>1257</v>
      </c>
      <c r="E2476" s="1" t="s">
        <v>5036</v>
      </c>
      <c r="F2476" s="1" t="s">
        <v>49</v>
      </c>
      <c r="G2476" s="1" t="str">
        <f>"06349620960"</f>
        <v>06349620960</v>
      </c>
      <c r="I2476" s="1" t="s">
        <v>2679</v>
      </c>
      <c r="L2476" s="1" t="s">
        <v>44</v>
      </c>
      <c r="M2476" s="1" t="s">
        <v>930</v>
      </c>
      <c r="AG2476" s="1" t="s">
        <v>5037</v>
      </c>
      <c r="AH2476" s="2">
        <v>45105</v>
      </c>
      <c r="AI2476" s="2">
        <v>45291</v>
      </c>
      <c r="AJ2476" s="2">
        <v>45105</v>
      </c>
    </row>
    <row r="2477" spans="1:36">
      <c r="A2477" s="1" t="str">
        <f>"Z073BB8236"</f>
        <v>Z073BB8236</v>
      </c>
      <c r="B2477" s="1" t="str">
        <f t="shared" si="58"/>
        <v>02406911202</v>
      </c>
      <c r="C2477" s="1" t="s">
        <v>13</v>
      </c>
      <c r="D2477" s="1" t="s">
        <v>1253</v>
      </c>
      <c r="E2477" s="1" t="s">
        <v>1270</v>
      </c>
      <c r="F2477" s="1" t="s">
        <v>49</v>
      </c>
      <c r="G2477" s="1" t="str">
        <f>"12864800151"</f>
        <v>12864800151</v>
      </c>
      <c r="I2477" s="1" t="s">
        <v>1393</v>
      </c>
      <c r="L2477" s="1" t="s">
        <v>44</v>
      </c>
      <c r="M2477" s="1" t="s">
        <v>153</v>
      </c>
      <c r="AG2477" s="1" t="s">
        <v>5038</v>
      </c>
      <c r="AH2477" s="2">
        <v>45105</v>
      </c>
      <c r="AI2477" s="2">
        <v>45291</v>
      </c>
      <c r="AJ2477" s="2">
        <v>45105</v>
      </c>
    </row>
    <row r="2478" spans="1:36">
      <c r="A2478" s="1" t="str">
        <f>"Z253A9E838"</f>
        <v>Z253A9E838</v>
      </c>
      <c r="B2478" s="1" t="str">
        <f t="shared" si="58"/>
        <v>02406911202</v>
      </c>
      <c r="C2478" s="1" t="s">
        <v>13</v>
      </c>
      <c r="D2478" s="1" t="s">
        <v>1257</v>
      </c>
      <c r="E2478" s="1" t="s">
        <v>5039</v>
      </c>
      <c r="F2478" s="1" t="s">
        <v>49</v>
      </c>
      <c r="G2478" s="1" t="str">
        <f>"03281501217"</f>
        <v>03281501217</v>
      </c>
      <c r="I2478" s="1" t="s">
        <v>6754</v>
      </c>
      <c r="L2478" s="1" t="s">
        <v>44</v>
      </c>
      <c r="M2478" s="1" t="s">
        <v>5040</v>
      </c>
      <c r="AG2478" s="1" t="s">
        <v>124</v>
      </c>
      <c r="AH2478" s="2">
        <v>45016</v>
      </c>
      <c r="AI2478" s="2">
        <v>45114</v>
      </c>
      <c r="AJ2478" s="2">
        <v>45016</v>
      </c>
    </row>
    <row r="2479" spans="1:36">
      <c r="A2479" s="1" t="str">
        <f>"Z253A9E838"</f>
        <v>Z253A9E838</v>
      </c>
      <c r="B2479" s="1" t="str">
        <f t="shared" si="58"/>
        <v>02406911202</v>
      </c>
      <c r="C2479" s="1" t="s">
        <v>13</v>
      </c>
      <c r="D2479" s="1" t="s">
        <v>1257</v>
      </c>
      <c r="E2479" s="1" t="s">
        <v>5039</v>
      </c>
      <c r="F2479" s="1" t="s">
        <v>49</v>
      </c>
      <c r="G2479" s="1" t="str">
        <f>"01177620299"</f>
        <v>01177620299</v>
      </c>
      <c r="I2479" s="1" t="s">
        <v>1609</v>
      </c>
      <c r="L2479" s="1" t="s">
        <v>41</v>
      </c>
      <c r="AJ2479" s="2">
        <v>45016</v>
      </c>
    </row>
    <row r="2480" spans="1:36">
      <c r="A2480" s="1" t="str">
        <f>"Z253A9E838"</f>
        <v>Z253A9E838</v>
      </c>
      <c r="B2480" s="1" t="str">
        <f t="shared" si="58"/>
        <v>02406911202</v>
      </c>
      <c r="C2480" s="1" t="s">
        <v>13</v>
      </c>
      <c r="D2480" s="1" t="s">
        <v>1257</v>
      </c>
      <c r="E2480" s="1" t="s">
        <v>5039</v>
      </c>
      <c r="F2480" s="1" t="s">
        <v>49</v>
      </c>
      <c r="G2480" s="1" t="str">
        <f>"02503150373"</f>
        <v>02503150373</v>
      </c>
      <c r="I2480" s="1" t="s">
        <v>2197</v>
      </c>
      <c r="L2480" s="1" t="s">
        <v>41</v>
      </c>
      <c r="AJ2480" s="2">
        <v>45016</v>
      </c>
    </row>
    <row r="2481" spans="1:36">
      <c r="A2481" s="1" t="str">
        <f>"Z013BC3DD3"</f>
        <v>Z013BC3DD3</v>
      </c>
      <c r="B2481" s="1" t="str">
        <f t="shared" si="58"/>
        <v>02406911202</v>
      </c>
      <c r="C2481" s="1" t="s">
        <v>13</v>
      </c>
      <c r="D2481" s="1" t="s">
        <v>1312</v>
      </c>
      <c r="E2481" s="1" t="s">
        <v>5041</v>
      </c>
      <c r="F2481" s="1" t="s">
        <v>49</v>
      </c>
      <c r="G2481" s="1" t="str">
        <f>"01900221209"</f>
        <v>01900221209</v>
      </c>
      <c r="I2481" s="1" t="s">
        <v>4162</v>
      </c>
      <c r="L2481" s="1" t="s">
        <v>44</v>
      </c>
      <c r="M2481" s="1" t="s">
        <v>1314</v>
      </c>
      <c r="AG2481" s="1" t="s">
        <v>124</v>
      </c>
      <c r="AH2481" s="2">
        <v>45107</v>
      </c>
      <c r="AI2481" s="2">
        <v>46022</v>
      </c>
      <c r="AJ2481" s="2">
        <v>45107</v>
      </c>
    </row>
    <row r="2482" spans="1:36">
      <c r="A2482" s="1" t="str">
        <f>"ZE73A8C362"</f>
        <v>ZE73A8C362</v>
      </c>
      <c r="B2482" s="1" t="str">
        <f t="shared" si="58"/>
        <v>02406911202</v>
      </c>
      <c r="C2482" s="1" t="s">
        <v>13</v>
      </c>
      <c r="D2482" s="1" t="s">
        <v>1253</v>
      </c>
      <c r="E2482" s="1" t="s">
        <v>1254</v>
      </c>
      <c r="F2482" s="1" t="s">
        <v>49</v>
      </c>
      <c r="G2482" s="1" t="str">
        <f>"01736720994"</f>
        <v>01736720994</v>
      </c>
      <c r="I2482" s="1" t="s">
        <v>80</v>
      </c>
      <c r="L2482" s="1" t="s">
        <v>44</v>
      </c>
      <c r="M2482" s="1" t="s">
        <v>1255</v>
      </c>
      <c r="AG2482" s="1" t="s">
        <v>5042</v>
      </c>
      <c r="AH2482" s="2">
        <v>45012</v>
      </c>
      <c r="AI2482" s="2">
        <v>45291</v>
      </c>
      <c r="AJ2482" s="2">
        <v>45012</v>
      </c>
    </row>
    <row r="2483" spans="1:36">
      <c r="A2483" s="1" t="str">
        <f>"ZDD3AA3253"</f>
        <v>ZDD3AA3253</v>
      </c>
      <c r="B2483" s="1" t="str">
        <f t="shared" si="58"/>
        <v>02406911202</v>
      </c>
      <c r="C2483" s="1" t="s">
        <v>13</v>
      </c>
      <c r="D2483" s="1" t="s">
        <v>1257</v>
      </c>
      <c r="E2483" s="1" t="s">
        <v>5043</v>
      </c>
      <c r="F2483" s="1" t="s">
        <v>49</v>
      </c>
      <c r="G2483" s="1" t="str">
        <f>"03454520234"</f>
        <v>03454520234</v>
      </c>
      <c r="I2483" s="1" t="s">
        <v>5044</v>
      </c>
      <c r="L2483" s="1" t="s">
        <v>44</v>
      </c>
      <c r="M2483" s="1" t="s">
        <v>153</v>
      </c>
      <c r="AG2483" s="1" t="s">
        <v>5045</v>
      </c>
      <c r="AH2483" s="2">
        <v>45019</v>
      </c>
      <c r="AI2483" s="2">
        <v>45291</v>
      </c>
      <c r="AJ2483" s="2">
        <v>45019</v>
      </c>
    </row>
    <row r="2484" spans="1:36">
      <c r="A2484" s="1" t="str">
        <f>"9677662353"</f>
        <v>9677662353</v>
      </c>
      <c r="B2484" s="1" t="str">
        <f t="shared" si="58"/>
        <v>02406911202</v>
      </c>
      <c r="C2484" s="1" t="s">
        <v>13</v>
      </c>
      <c r="D2484" s="1" t="s">
        <v>37</v>
      </c>
      <c r="E2484" s="1" t="s">
        <v>5046</v>
      </c>
      <c r="F2484" s="1" t="s">
        <v>117</v>
      </c>
      <c r="G2484" s="1" t="str">
        <f>"00488410010"</f>
        <v>00488410010</v>
      </c>
      <c r="I2484" s="1" t="s">
        <v>1200</v>
      </c>
      <c r="L2484" s="1" t="s">
        <v>44</v>
      </c>
      <c r="M2484" s="1" t="s">
        <v>5047</v>
      </c>
      <c r="AG2484" s="1" t="s">
        <v>5048</v>
      </c>
      <c r="AH2484" s="2">
        <v>44986</v>
      </c>
      <c r="AI2484" s="2">
        <v>46220</v>
      </c>
      <c r="AJ2484" s="2">
        <v>44986</v>
      </c>
    </row>
    <row r="2485" spans="1:36">
      <c r="A2485" s="1" t="str">
        <f>"ZBA3AD3653"</f>
        <v>ZBA3AD3653</v>
      </c>
      <c r="B2485" s="1" t="str">
        <f t="shared" si="58"/>
        <v>02406911202</v>
      </c>
      <c r="C2485" s="1" t="s">
        <v>13</v>
      </c>
      <c r="D2485" s="1" t="s">
        <v>1253</v>
      </c>
      <c r="E2485" s="1" t="s">
        <v>1254</v>
      </c>
      <c r="F2485" s="1" t="s">
        <v>49</v>
      </c>
      <c r="G2485" s="1" t="str">
        <f>"11206730159"</f>
        <v>11206730159</v>
      </c>
      <c r="I2485" s="1" t="s">
        <v>192</v>
      </c>
      <c r="L2485" s="1" t="s">
        <v>44</v>
      </c>
      <c r="M2485" s="1" t="s">
        <v>1255</v>
      </c>
      <c r="AG2485" s="1" t="s">
        <v>2975</v>
      </c>
      <c r="AH2485" s="2">
        <v>45034</v>
      </c>
      <c r="AI2485" s="2">
        <v>45291</v>
      </c>
      <c r="AJ2485" s="2">
        <v>45034</v>
      </c>
    </row>
    <row r="2486" spans="1:36">
      <c r="A2486" s="1" t="str">
        <f>"ZEF3B128C4"</f>
        <v>ZEF3B128C4</v>
      </c>
      <c r="B2486" s="1" t="str">
        <f t="shared" si="58"/>
        <v>02406911202</v>
      </c>
      <c r="C2486" s="1" t="s">
        <v>13</v>
      </c>
      <c r="D2486" s="1" t="s">
        <v>205</v>
      </c>
      <c r="E2486" s="1" t="s">
        <v>5049</v>
      </c>
      <c r="F2486" s="1" t="s">
        <v>49</v>
      </c>
      <c r="G2486" s="1" t="str">
        <f>"02866081207"</f>
        <v>02866081207</v>
      </c>
      <c r="I2486" s="1" t="s">
        <v>5050</v>
      </c>
      <c r="L2486" s="1" t="s">
        <v>44</v>
      </c>
      <c r="M2486" s="1" t="s">
        <v>5051</v>
      </c>
      <c r="AG2486" s="1" t="s">
        <v>5052</v>
      </c>
      <c r="AH2486" s="2">
        <v>44927</v>
      </c>
      <c r="AI2486" s="2">
        <v>45291</v>
      </c>
      <c r="AJ2486" s="2">
        <v>44927</v>
      </c>
    </row>
    <row r="2487" spans="1:36">
      <c r="A2487" s="1" t="str">
        <f>"Z393B129B7"</f>
        <v>Z393B129B7</v>
      </c>
      <c r="B2487" s="1" t="str">
        <f t="shared" si="58"/>
        <v>02406911202</v>
      </c>
      <c r="C2487" s="1" t="s">
        <v>13</v>
      </c>
      <c r="D2487" s="1" t="s">
        <v>205</v>
      </c>
      <c r="E2487" s="1" t="s">
        <v>5053</v>
      </c>
      <c r="F2487" s="1" t="s">
        <v>49</v>
      </c>
      <c r="G2487" s="1" t="str">
        <f>"01673921209"</f>
        <v>01673921209</v>
      </c>
      <c r="I2487" s="1" t="s">
        <v>5054</v>
      </c>
      <c r="L2487" s="1" t="s">
        <v>44</v>
      </c>
      <c r="M2487" s="1" t="s">
        <v>5055</v>
      </c>
      <c r="AG2487" s="1" t="s">
        <v>124</v>
      </c>
      <c r="AH2487" s="2">
        <v>44927</v>
      </c>
      <c r="AI2487" s="2">
        <v>45291</v>
      </c>
      <c r="AJ2487" s="2">
        <v>44927</v>
      </c>
    </row>
    <row r="2488" spans="1:36">
      <c r="A2488" s="1" t="str">
        <f>"ZDC3B12A82"</f>
        <v>ZDC3B12A82</v>
      </c>
      <c r="B2488" s="1" t="str">
        <f t="shared" si="58"/>
        <v>02406911202</v>
      </c>
      <c r="C2488" s="1" t="s">
        <v>13</v>
      </c>
      <c r="D2488" s="1" t="s">
        <v>205</v>
      </c>
      <c r="E2488" s="1" t="s">
        <v>5056</v>
      </c>
      <c r="F2488" s="1" t="s">
        <v>49</v>
      </c>
      <c r="G2488" s="1" t="str">
        <f>"02872371204"</f>
        <v>02872371204</v>
      </c>
      <c r="I2488" s="1" t="s">
        <v>5057</v>
      </c>
      <c r="L2488" s="1" t="s">
        <v>44</v>
      </c>
      <c r="M2488" s="1" t="s">
        <v>5058</v>
      </c>
      <c r="AG2488" s="1" t="s">
        <v>5059</v>
      </c>
      <c r="AH2488" s="2">
        <v>44927</v>
      </c>
      <c r="AI2488" s="2">
        <v>45291</v>
      </c>
      <c r="AJ2488" s="2">
        <v>44927</v>
      </c>
    </row>
    <row r="2489" spans="1:36">
      <c r="A2489" s="1" t="str">
        <f>"Z6C3B13776"</f>
        <v>Z6C3B13776</v>
      </c>
      <c r="B2489" s="1" t="str">
        <f t="shared" si="58"/>
        <v>02406911202</v>
      </c>
      <c r="C2489" s="1" t="s">
        <v>13</v>
      </c>
      <c r="D2489" s="1" t="s">
        <v>1253</v>
      </c>
      <c r="E2489" s="1" t="s">
        <v>1262</v>
      </c>
      <c r="F2489" s="1" t="s">
        <v>49</v>
      </c>
      <c r="G2489" s="1" t="str">
        <f>"02789580590"</f>
        <v>02789580590</v>
      </c>
      <c r="I2489" s="1" t="s">
        <v>1827</v>
      </c>
      <c r="L2489" s="1" t="s">
        <v>44</v>
      </c>
      <c r="M2489" s="1" t="s">
        <v>1255</v>
      </c>
      <c r="AG2489" s="1" t="s">
        <v>5060</v>
      </c>
      <c r="AH2489" s="2">
        <v>45055</v>
      </c>
      <c r="AI2489" s="2">
        <v>45291</v>
      </c>
      <c r="AJ2489" s="2">
        <v>45055</v>
      </c>
    </row>
    <row r="2490" spans="1:36">
      <c r="A2490" s="1" t="str">
        <f>"Z823B1387D"</f>
        <v>Z823B1387D</v>
      </c>
      <c r="B2490" s="1" t="str">
        <f t="shared" si="58"/>
        <v>02406911202</v>
      </c>
      <c r="C2490" s="1" t="s">
        <v>13</v>
      </c>
      <c r="D2490" s="1" t="s">
        <v>205</v>
      </c>
      <c r="E2490" s="1" t="s">
        <v>5061</v>
      </c>
      <c r="F2490" s="1" t="s">
        <v>49</v>
      </c>
      <c r="G2490" s="1" t="str">
        <f>"02222621209"</f>
        <v>02222621209</v>
      </c>
      <c r="I2490" s="1" t="s">
        <v>5062</v>
      </c>
      <c r="L2490" s="1" t="s">
        <v>44</v>
      </c>
      <c r="M2490" s="1" t="s">
        <v>5063</v>
      </c>
      <c r="AG2490" s="1" t="s">
        <v>124</v>
      </c>
      <c r="AH2490" s="2">
        <v>44927</v>
      </c>
      <c r="AI2490" s="2">
        <v>45291</v>
      </c>
      <c r="AJ2490" s="2">
        <v>44927</v>
      </c>
    </row>
    <row r="2491" spans="1:36">
      <c r="A2491" s="1" t="str">
        <f>"Z9F3B13971"</f>
        <v>Z9F3B13971</v>
      </c>
      <c r="B2491" s="1" t="str">
        <f t="shared" si="58"/>
        <v>02406911202</v>
      </c>
      <c r="C2491" s="1" t="s">
        <v>13</v>
      </c>
      <c r="D2491" s="1" t="s">
        <v>205</v>
      </c>
      <c r="E2491" s="1" t="s">
        <v>5064</v>
      </c>
      <c r="F2491" s="1" t="s">
        <v>49</v>
      </c>
      <c r="G2491" s="1" t="str">
        <f>"02979131204"</f>
        <v>02979131204</v>
      </c>
      <c r="I2491" s="1" t="s">
        <v>5065</v>
      </c>
      <c r="L2491" s="1" t="s">
        <v>44</v>
      </c>
      <c r="M2491" s="1" t="s">
        <v>5066</v>
      </c>
      <c r="AG2491" s="1" t="s">
        <v>5067</v>
      </c>
      <c r="AH2491" s="2">
        <v>44927</v>
      </c>
      <c r="AI2491" s="2">
        <v>45291</v>
      </c>
      <c r="AJ2491" s="2">
        <v>44927</v>
      </c>
    </row>
    <row r="2492" spans="1:36">
      <c r="A2492" s="1" t="str">
        <f>"ZDC3B13A32"</f>
        <v>ZDC3B13A32</v>
      </c>
      <c r="B2492" s="1" t="str">
        <f t="shared" si="58"/>
        <v>02406911202</v>
      </c>
      <c r="C2492" s="1" t="s">
        <v>13</v>
      </c>
      <c r="D2492" s="1" t="s">
        <v>205</v>
      </c>
      <c r="E2492" s="1" t="s">
        <v>5068</v>
      </c>
      <c r="F2492" s="1" t="s">
        <v>49</v>
      </c>
      <c r="G2492" s="1" t="str">
        <f>"01626121204"</f>
        <v>01626121204</v>
      </c>
      <c r="I2492" s="1" t="s">
        <v>5069</v>
      </c>
      <c r="L2492" s="1" t="s">
        <v>44</v>
      </c>
      <c r="M2492" s="1" t="s">
        <v>5070</v>
      </c>
      <c r="AG2492" s="1" t="s">
        <v>5071</v>
      </c>
      <c r="AH2492" s="2">
        <v>44927</v>
      </c>
      <c r="AI2492" s="2">
        <v>45291</v>
      </c>
      <c r="AJ2492" s="2">
        <v>44927</v>
      </c>
    </row>
    <row r="2493" spans="1:36">
      <c r="A2493" s="1" t="str">
        <f>"Z873B13BCC"</f>
        <v>Z873B13BCC</v>
      </c>
      <c r="B2493" s="1" t="str">
        <f t="shared" si="58"/>
        <v>02406911202</v>
      </c>
      <c r="C2493" s="1" t="s">
        <v>13</v>
      </c>
      <c r="D2493" s="1" t="s">
        <v>205</v>
      </c>
      <c r="E2493" s="1" t="s">
        <v>5072</v>
      </c>
      <c r="F2493" s="1" t="s">
        <v>49</v>
      </c>
      <c r="G2493" s="1" t="str">
        <f>"04075771206"</f>
        <v>04075771206</v>
      </c>
      <c r="I2493" s="1" t="s">
        <v>5073</v>
      </c>
      <c r="L2493" s="1" t="s">
        <v>44</v>
      </c>
      <c r="M2493" s="1" t="s">
        <v>4321</v>
      </c>
      <c r="AG2493" s="1" t="s">
        <v>5074</v>
      </c>
      <c r="AH2493" s="2">
        <v>44927</v>
      </c>
      <c r="AI2493" s="2">
        <v>45291</v>
      </c>
      <c r="AJ2493" s="2">
        <v>44927</v>
      </c>
    </row>
    <row r="2494" spans="1:36">
      <c r="A2494" s="1" t="str">
        <f>"Z0D3B1751E"</f>
        <v>Z0D3B1751E</v>
      </c>
      <c r="B2494" s="1" t="str">
        <f t="shared" si="58"/>
        <v>02406911202</v>
      </c>
      <c r="C2494" s="1" t="s">
        <v>13</v>
      </c>
      <c r="D2494" s="1" t="s">
        <v>1253</v>
      </c>
      <c r="E2494" s="1" t="s">
        <v>1270</v>
      </c>
      <c r="F2494" s="1" t="s">
        <v>49</v>
      </c>
      <c r="G2494" s="1" t="str">
        <f>"08948430965"</f>
        <v>08948430965</v>
      </c>
      <c r="I2494" s="1" t="s">
        <v>2230</v>
      </c>
      <c r="L2494" s="1" t="s">
        <v>44</v>
      </c>
      <c r="M2494" s="1" t="s">
        <v>1255</v>
      </c>
      <c r="AG2494" s="1" t="s">
        <v>124</v>
      </c>
      <c r="AH2494" s="2">
        <v>45056</v>
      </c>
      <c r="AI2494" s="2">
        <v>45291</v>
      </c>
      <c r="AJ2494" s="2">
        <v>45056</v>
      </c>
    </row>
    <row r="2495" spans="1:36">
      <c r="A2495" s="1" t="str">
        <f>"Z383B7EBF9"</f>
        <v>Z383B7EBF9</v>
      </c>
      <c r="B2495" s="1" t="str">
        <f t="shared" si="58"/>
        <v>02406911202</v>
      </c>
      <c r="C2495" s="1" t="s">
        <v>13</v>
      </c>
      <c r="D2495" s="1" t="s">
        <v>1253</v>
      </c>
      <c r="E2495" s="1" t="s">
        <v>1254</v>
      </c>
      <c r="F2495" s="1" t="s">
        <v>49</v>
      </c>
      <c r="G2495" s="1" t="str">
        <f>"00674840152"</f>
        <v>00674840152</v>
      </c>
      <c r="I2495" s="1" t="s">
        <v>190</v>
      </c>
      <c r="L2495" s="1" t="s">
        <v>44</v>
      </c>
      <c r="M2495" s="1" t="s">
        <v>1255</v>
      </c>
      <c r="AG2495" s="1" t="s">
        <v>5075</v>
      </c>
      <c r="AH2495" s="2">
        <v>45086</v>
      </c>
      <c r="AI2495" s="2">
        <v>45291</v>
      </c>
      <c r="AJ2495" s="2">
        <v>45086</v>
      </c>
    </row>
    <row r="2496" spans="1:36">
      <c r="A2496" s="1" t="str">
        <f>"Z1C3B7B84E"</f>
        <v>Z1C3B7B84E</v>
      </c>
      <c r="B2496" s="1" t="str">
        <f t="shared" si="58"/>
        <v>02406911202</v>
      </c>
      <c r="C2496" s="1" t="s">
        <v>13</v>
      </c>
      <c r="D2496" s="1" t="s">
        <v>1253</v>
      </c>
      <c r="E2496" s="1" t="s">
        <v>4351</v>
      </c>
      <c r="F2496" s="1" t="s">
        <v>49</v>
      </c>
      <c r="G2496" s="1" t="str">
        <f>"02285440398"</f>
        <v>02285440398</v>
      </c>
      <c r="I2496" s="1" t="s">
        <v>3732</v>
      </c>
      <c r="L2496" s="1" t="s">
        <v>44</v>
      </c>
      <c r="M2496" s="1" t="s">
        <v>1255</v>
      </c>
      <c r="AG2496" s="1" t="s">
        <v>5076</v>
      </c>
      <c r="AH2496" s="2">
        <v>45090</v>
      </c>
      <c r="AI2496" s="2">
        <v>45291</v>
      </c>
      <c r="AJ2496" s="2">
        <v>45090</v>
      </c>
    </row>
    <row r="2497" spans="1:36">
      <c r="A2497" s="1" t="str">
        <f>"9823834446"</f>
        <v>9823834446</v>
      </c>
      <c r="B2497" s="1" t="str">
        <f t="shared" si="58"/>
        <v>02406911202</v>
      </c>
      <c r="C2497" s="1" t="s">
        <v>13</v>
      </c>
      <c r="D2497" s="1" t="s">
        <v>1312</v>
      </c>
      <c r="E2497" s="1" t="s">
        <v>5077</v>
      </c>
      <c r="F2497" s="1" t="s">
        <v>49</v>
      </c>
      <c r="G2497" s="1" t="str">
        <f>"00876481003"</f>
        <v>00876481003</v>
      </c>
      <c r="I2497" s="1" t="s">
        <v>5078</v>
      </c>
      <c r="L2497" s="1" t="s">
        <v>44</v>
      </c>
      <c r="M2497" s="1" t="s">
        <v>5079</v>
      </c>
      <c r="AG2497" s="1" t="s">
        <v>124</v>
      </c>
      <c r="AH2497" s="2">
        <v>45091</v>
      </c>
      <c r="AI2497" s="2">
        <v>45291</v>
      </c>
      <c r="AJ2497" s="2">
        <v>45091</v>
      </c>
    </row>
    <row r="2498" spans="1:36">
      <c r="A2498" s="1" t="str">
        <f>"ZC43B9D5B4"</f>
        <v>ZC43B9D5B4</v>
      </c>
      <c r="B2498" s="1" t="str">
        <f t="shared" si="58"/>
        <v>02406911202</v>
      </c>
      <c r="C2498" s="1" t="s">
        <v>13</v>
      </c>
      <c r="D2498" s="1" t="s">
        <v>1253</v>
      </c>
      <c r="E2498" s="1" t="s">
        <v>1262</v>
      </c>
      <c r="F2498" s="1" t="s">
        <v>49</v>
      </c>
      <c r="G2498" s="1" t="str">
        <f>"11654150157"</f>
        <v>11654150157</v>
      </c>
      <c r="I2498" s="1" t="s">
        <v>1468</v>
      </c>
      <c r="L2498" s="1" t="s">
        <v>44</v>
      </c>
      <c r="M2498" s="1" t="s">
        <v>1255</v>
      </c>
      <c r="AG2498" s="1" t="s">
        <v>5080</v>
      </c>
      <c r="AH2498" s="2">
        <v>45097</v>
      </c>
      <c r="AI2498" s="2">
        <v>45291</v>
      </c>
      <c r="AJ2498" s="2">
        <v>45097</v>
      </c>
    </row>
    <row r="2499" spans="1:36">
      <c r="A2499" s="1" t="str">
        <f>"9880946E93"</f>
        <v>9880946E93</v>
      </c>
      <c r="B2499" s="1" t="str">
        <f t="shared" si="58"/>
        <v>02406911202</v>
      </c>
      <c r="C2499" s="1" t="s">
        <v>13</v>
      </c>
      <c r="D2499" s="1" t="s">
        <v>1253</v>
      </c>
      <c r="E2499" s="1" t="s">
        <v>1254</v>
      </c>
      <c r="F2499" s="1" t="s">
        <v>49</v>
      </c>
      <c r="G2499" s="1" t="str">
        <f>"05896100962"</f>
        <v>05896100962</v>
      </c>
      <c r="I2499" s="1" t="s">
        <v>1413</v>
      </c>
      <c r="L2499" s="1" t="s">
        <v>44</v>
      </c>
      <c r="M2499" s="1" t="s">
        <v>5081</v>
      </c>
      <c r="AG2499" s="1" t="s">
        <v>4267</v>
      </c>
      <c r="AH2499" s="2">
        <v>45107</v>
      </c>
      <c r="AI2499" s="2">
        <v>45473</v>
      </c>
      <c r="AJ2499" s="2">
        <v>45107</v>
      </c>
    </row>
    <row r="2500" spans="1:36">
      <c r="A2500" s="1" t="str">
        <f>"9790460F2A"</f>
        <v>9790460F2A</v>
      </c>
      <c r="B2500" s="1" t="str">
        <f t="shared" si="58"/>
        <v>02406911202</v>
      </c>
      <c r="C2500" s="1" t="s">
        <v>13</v>
      </c>
      <c r="D2500" s="1" t="s">
        <v>37</v>
      </c>
      <c r="E2500" s="1" t="s">
        <v>5082</v>
      </c>
      <c r="F2500" s="1" t="s">
        <v>39</v>
      </c>
      <c r="G2500" s="1" t="str">
        <f>"02301560260"</f>
        <v>02301560260</v>
      </c>
      <c r="I2500" s="1" t="s">
        <v>5083</v>
      </c>
      <c r="L2500" s="1" t="s">
        <v>44</v>
      </c>
      <c r="M2500" s="1" t="s">
        <v>5084</v>
      </c>
      <c r="AG2500" s="1" t="s">
        <v>124</v>
      </c>
      <c r="AH2500" s="2">
        <v>45093</v>
      </c>
      <c r="AI2500" s="2">
        <v>45291</v>
      </c>
      <c r="AJ2500" s="2">
        <v>45093</v>
      </c>
    </row>
    <row r="2501" spans="1:36">
      <c r="A2501" s="1" t="str">
        <f>"Z193BC153B"</f>
        <v>Z193BC153B</v>
      </c>
      <c r="B2501" s="1" t="str">
        <f t="shared" si="58"/>
        <v>02406911202</v>
      </c>
      <c r="C2501" s="1" t="s">
        <v>13</v>
      </c>
      <c r="D2501" s="1" t="s">
        <v>1253</v>
      </c>
      <c r="E2501" s="1" t="s">
        <v>1262</v>
      </c>
      <c r="F2501" s="1" t="s">
        <v>49</v>
      </c>
      <c r="G2501" s="1" t="str">
        <f>"10616310156"</f>
        <v>10616310156</v>
      </c>
      <c r="I2501" s="1" t="s">
        <v>1956</v>
      </c>
      <c r="L2501" s="1" t="s">
        <v>44</v>
      </c>
      <c r="M2501" s="1" t="s">
        <v>1255</v>
      </c>
      <c r="AG2501" s="1" t="s">
        <v>5085</v>
      </c>
      <c r="AH2501" s="2">
        <v>45107</v>
      </c>
      <c r="AI2501" s="2">
        <v>45291</v>
      </c>
      <c r="AJ2501" s="2">
        <v>45107</v>
      </c>
    </row>
    <row r="2502" spans="1:36">
      <c r="A2502" s="1" t="str">
        <f>"Z663BC1951"</f>
        <v>Z663BC1951</v>
      </c>
      <c r="B2502" s="1" t="str">
        <f t="shared" ref="B2502:B2565" si="61">"02406911202"</f>
        <v>02406911202</v>
      </c>
      <c r="C2502" s="1" t="s">
        <v>13</v>
      </c>
      <c r="D2502" s="1" t="s">
        <v>1312</v>
      </c>
      <c r="E2502" s="1" t="s">
        <v>5086</v>
      </c>
      <c r="F2502" s="1" t="s">
        <v>49</v>
      </c>
      <c r="G2502" s="1" t="str">
        <f>"01431870094"</f>
        <v>01431870094</v>
      </c>
      <c r="I2502" s="1" t="s">
        <v>3384</v>
      </c>
      <c r="L2502" s="1" t="s">
        <v>44</v>
      </c>
      <c r="M2502" s="1" t="s">
        <v>1314</v>
      </c>
      <c r="AG2502" s="1" t="s">
        <v>124</v>
      </c>
      <c r="AH2502" s="2">
        <v>45107</v>
      </c>
      <c r="AI2502" s="2">
        <v>46022</v>
      </c>
      <c r="AJ2502" s="2">
        <v>45107</v>
      </c>
    </row>
    <row r="2503" spans="1:36">
      <c r="A2503" s="1" t="str">
        <f>"Z953BC201A"</f>
        <v>Z953BC201A</v>
      </c>
      <c r="B2503" s="1" t="str">
        <f t="shared" si="61"/>
        <v>02406911202</v>
      </c>
      <c r="C2503" s="1" t="s">
        <v>13</v>
      </c>
      <c r="D2503" s="1" t="s">
        <v>1312</v>
      </c>
      <c r="E2503" s="1" t="s">
        <v>5087</v>
      </c>
      <c r="F2503" s="1" t="s">
        <v>49</v>
      </c>
      <c r="G2503" s="1" t="str">
        <f>"01835220482"</f>
        <v>01835220482</v>
      </c>
      <c r="I2503" s="1" t="s">
        <v>412</v>
      </c>
      <c r="L2503" s="1" t="s">
        <v>44</v>
      </c>
      <c r="M2503" s="1" t="s">
        <v>1314</v>
      </c>
      <c r="AG2503" s="1" t="s">
        <v>5088</v>
      </c>
      <c r="AH2503" s="2">
        <v>45107</v>
      </c>
      <c r="AI2503" s="2">
        <v>45322</v>
      </c>
      <c r="AJ2503" s="2">
        <v>45107</v>
      </c>
    </row>
    <row r="2504" spans="1:36">
      <c r="A2504" s="1" t="str">
        <f>"Z963BC3205"</f>
        <v>Z963BC3205</v>
      </c>
      <c r="B2504" s="1" t="str">
        <f t="shared" si="61"/>
        <v>02406911202</v>
      </c>
      <c r="C2504" s="1" t="s">
        <v>13</v>
      </c>
      <c r="D2504" s="1" t="s">
        <v>1253</v>
      </c>
      <c r="E2504" s="1" t="s">
        <v>1254</v>
      </c>
      <c r="F2504" s="1" t="s">
        <v>49</v>
      </c>
      <c r="G2504" s="1" t="str">
        <f>"11873880154"</f>
        <v>11873880154</v>
      </c>
      <c r="I2504" s="1" t="s">
        <v>5089</v>
      </c>
      <c r="L2504" s="1" t="s">
        <v>44</v>
      </c>
      <c r="M2504" s="1" t="s">
        <v>1255</v>
      </c>
      <c r="AG2504" s="1" t="s">
        <v>124</v>
      </c>
      <c r="AH2504" s="2">
        <v>45107</v>
      </c>
      <c r="AI2504" s="2">
        <v>45291</v>
      </c>
      <c r="AJ2504" s="2">
        <v>45107</v>
      </c>
    </row>
    <row r="2505" spans="1:36">
      <c r="A2505" s="1" t="str">
        <f>"Z513BC37EF"</f>
        <v>Z513BC37EF</v>
      </c>
      <c r="B2505" s="1" t="str">
        <f t="shared" si="61"/>
        <v>02406911202</v>
      </c>
      <c r="C2505" s="1" t="s">
        <v>13</v>
      </c>
      <c r="D2505" s="1" t="s">
        <v>1312</v>
      </c>
      <c r="E2505" s="1" t="s">
        <v>5090</v>
      </c>
      <c r="F2505" s="1" t="s">
        <v>49</v>
      </c>
      <c r="G2505" s="1" t="str">
        <f>"02125550349"</f>
        <v>02125550349</v>
      </c>
      <c r="I2505" s="1" t="s">
        <v>5091</v>
      </c>
      <c r="L2505" s="1" t="s">
        <v>44</v>
      </c>
      <c r="M2505" s="1" t="s">
        <v>1314</v>
      </c>
      <c r="AG2505" s="1" t="s">
        <v>124</v>
      </c>
      <c r="AH2505" s="2">
        <v>45107</v>
      </c>
      <c r="AI2505" s="2">
        <v>46022</v>
      </c>
      <c r="AJ2505" s="2">
        <v>45107</v>
      </c>
    </row>
    <row r="2506" spans="1:36">
      <c r="A2506" s="1" t="str">
        <f>"ZF13A89FD7"</f>
        <v>ZF13A89FD7</v>
      </c>
      <c r="B2506" s="1" t="str">
        <f t="shared" si="61"/>
        <v>02406911202</v>
      </c>
      <c r="C2506" s="1" t="s">
        <v>13</v>
      </c>
      <c r="D2506" s="1" t="s">
        <v>1312</v>
      </c>
      <c r="E2506" s="1" t="s">
        <v>5092</v>
      </c>
      <c r="F2506" s="1" t="s">
        <v>49</v>
      </c>
      <c r="G2506" s="1" t="str">
        <f>"03663500969"</f>
        <v>03663500969</v>
      </c>
      <c r="I2506" s="1" t="s">
        <v>1383</v>
      </c>
      <c r="L2506" s="1" t="s">
        <v>44</v>
      </c>
      <c r="M2506" s="1" t="s">
        <v>1314</v>
      </c>
      <c r="AG2506" s="1" t="s">
        <v>5093</v>
      </c>
      <c r="AH2506" s="2">
        <v>45012</v>
      </c>
      <c r="AI2506" s="2">
        <v>46022</v>
      </c>
      <c r="AJ2506" s="2">
        <v>45012</v>
      </c>
    </row>
    <row r="2507" spans="1:36">
      <c r="A2507" s="1" t="str">
        <f>"9754739945"</f>
        <v>9754739945</v>
      </c>
      <c r="B2507" s="1" t="str">
        <f t="shared" si="61"/>
        <v>02406911202</v>
      </c>
      <c r="C2507" s="1" t="s">
        <v>13</v>
      </c>
      <c r="D2507" s="1" t="s">
        <v>37</v>
      </c>
      <c r="E2507" s="1" t="s">
        <v>5094</v>
      </c>
      <c r="F2507" s="1" t="s">
        <v>39</v>
      </c>
      <c r="H2507" s="1" t="str">
        <f>"556737463101"</f>
        <v>556737463101</v>
      </c>
      <c r="I2507" s="1" t="s">
        <v>5095</v>
      </c>
      <c r="L2507" s="1" t="s">
        <v>44</v>
      </c>
      <c r="M2507" s="1" t="s">
        <v>375</v>
      </c>
      <c r="AG2507" s="1" t="s">
        <v>124</v>
      </c>
      <c r="AH2507" s="2">
        <v>45022</v>
      </c>
      <c r="AI2507" s="2">
        <v>45170</v>
      </c>
      <c r="AJ2507" s="2">
        <v>45022</v>
      </c>
    </row>
    <row r="2508" spans="1:36">
      <c r="A2508" s="1" t="str">
        <f>"9774439A39"</f>
        <v>9774439A39</v>
      </c>
      <c r="B2508" s="1" t="str">
        <f t="shared" si="61"/>
        <v>02406911202</v>
      </c>
      <c r="C2508" s="1" t="s">
        <v>13</v>
      </c>
      <c r="D2508" s="1" t="s">
        <v>1253</v>
      </c>
      <c r="E2508" s="1" t="s">
        <v>1254</v>
      </c>
      <c r="F2508" s="1" t="s">
        <v>49</v>
      </c>
      <c r="G2508" s="1" t="str">
        <f>"01177620299"</f>
        <v>01177620299</v>
      </c>
      <c r="I2508" s="1" t="s">
        <v>1609</v>
      </c>
      <c r="L2508" s="1" t="s">
        <v>44</v>
      </c>
      <c r="M2508" s="1" t="s">
        <v>2739</v>
      </c>
      <c r="AG2508" s="1" t="s">
        <v>5096</v>
      </c>
      <c r="AH2508" s="2">
        <v>45037</v>
      </c>
      <c r="AI2508" s="2">
        <v>45291</v>
      </c>
      <c r="AJ2508" s="2">
        <v>45037</v>
      </c>
    </row>
    <row r="2509" spans="1:36">
      <c r="A2509" s="1" t="str">
        <f>"9581586EE3"</f>
        <v>9581586EE3</v>
      </c>
      <c r="B2509" s="1" t="str">
        <f t="shared" si="61"/>
        <v>02406911202</v>
      </c>
      <c r="C2509" s="1" t="s">
        <v>13</v>
      </c>
      <c r="D2509" s="1" t="s">
        <v>37</v>
      </c>
      <c r="E2509" s="1" t="s">
        <v>5097</v>
      </c>
      <c r="F2509" s="1" t="s">
        <v>39</v>
      </c>
      <c r="G2509" s="1" t="str">
        <f>"02402870220"</f>
        <v>02402870220</v>
      </c>
      <c r="I2509" s="1" t="s">
        <v>4307</v>
      </c>
      <c r="L2509" s="1" t="s">
        <v>44</v>
      </c>
      <c r="M2509" s="1" t="s">
        <v>5098</v>
      </c>
      <c r="AG2509" s="1" t="s">
        <v>5099</v>
      </c>
      <c r="AH2509" s="2">
        <v>44986</v>
      </c>
      <c r="AI2509" s="2">
        <v>46081</v>
      </c>
      <c r="AJ2509" s="2">
        <v>44986</v>
      </c>
    </row>
    <row r="2510" spans="1:36">
      <c r="A2510" s="1" t="str">
        <f>"Z383B0EDA3"</f>
        <v>Z383B0EDA3</v>
      </c>
      <c r="B2510" s="1" t="str">
        <f t="shared" si="61"/>
        <v>02406911202</v>
      </c>
      <c r="C2510" s="1" t="s">
        <v>13</v>
      </c>
      <c r="D2510" s="1" t="s">
        <v>205</v>
      </c>
      <c r="E2510" s="1" t="s">
        <v>5100</v>
      </c>
      <c r="F2510" s="1" t="s">
        <v>49</v>
      </c>
      <c r="G2510" s="1" t="str">
        <f>"04317920371"</f>
        <v>04317920371</v>
      </c>
      <c r="I2510" s="1" t="s">
        <v>5101</v>
      </c>
      <c r="L2510" s="1" t="s">
        <v>44</v>
      </c>
      <c r="M2510" s="1" t="s">
        <v>5102</v>
      </c>
      <c r="AG2510" s="1" t="s">
        <v>5103</v>
      </c>
      <c r="AH2510" s="2">
        <v>44927</v>
      </c>
      <c r="AI2510" s="2">
        <v>45291</v>
      </c>
      <c r="AJ2510" s="2">
        <v>44927</v>
      </c>
    </row>
    <row r="2511" spans="1:36">
      <c r="A2511" s="1" t="str">
        <f>"ZB03B0EF96"</f>
        <v>ZB03B0EF96</v>
      </c>
      <c r="B2511" s="1" t="str">
        <f t="shared" si="61"/>
        <v>02406911202</v>
      </c>
      <c r="C2511" s="1" t="s">
        <v>13</v>
      </c>
      <c r="D2511" s="1" t="s">
        <v>205</v>
      </c>
      <c r="E2511" s="1" t="s">
        <v>5104</v>
      </c>
      <c r="F2511" s="1" t="s">
        <v>49</v>
      </c>
      <c r="G2511" s="1" t="str">
        <f>"01927111201"</f>
        <v>01927111201</v>
      </c>
      <c r="I2511" s="1" t="s">
        <v>5105</v>
      </c>
      <c r="L2511" s="1" t="s">
        <v>44</v>
      </c>
      <c r="M2511" s="1" t="s">
        <v>5106</v>
      </c>
      <c r="AG2511" s="1" t="s">
        <v>5107</v>
      </c>
      <c r="AH2511" s="2">
        <v>44927</v>
      </c>
      <c r="AI2511" s="2">
        <v>45291</v>
      </c>
      <c r="AJ2511" s="2">
        <v>44927</v>
      </c>
    </row>
    <row r="2512" spans="1:36">
      <c r="A2512" s="1" t="str">
        <f>"Z983B0F9C9"</f>
        <v>Z983B0F9C9</v>
      </c>
      <c r="B2512" s="1" t="str">
        <f t="shared" si="61"/>
        <v>02406911202</v>
      </c>
      <c r="C2512" s="1" t="s">
        <v>13</v>
      </c>
      <c r="D2512" s="1" t="s">
        <v>205</v>
      </c>
      <c r="E2512" s="1" t="s">
        <v>5108</v>
      </c>
      <c r="F2512" s="1" t="s">
        <v>49</v>
      </c>
      <c r="G2512" s="1" t="str">
        <f>"02177231202"</f>
        <v>02177231202</v>
      </c>
      <c r="I2512" s="1" t="s">
        <v>5109</v>
      </c>
      <c r="L2512" s="1" t="s">
        <v>44</v>
      </c>
      <c r="M2512" s="1" t="s">
        <v>5110</v>
      </c>
      <c r="AG2512" s="1" t="s">
        <v>5111</v>
      </c>
      <c r="AH2512" s="2">
        <v>44927</v>
      </c>
      <c r="AI2512" s="2">
        <v>45291</v>
      </c>
      <c r="AJ2512" s="2">
        <v>44927</v>
      </c>
    </row>
    <row r="2513" spans="1:36">
      <c r="A2513" s="1" t="str">
        <f>"Z2D3B0FA5C"</f>
        <v>Z2D3B0FA5C</v>
      </c>
      <c r="B2513" s="1" t="str">
        <f t="shared" si="61"/>
        <v>02406911202</v>
      </c>
      <c r="C2513" s="1" t="s">
        <v>13</v>
      </c>
      <c r="D2513" s="1" t="s">
        <v>205</v>
      </c>
      <c r="E2513" s="1" t="s">
        <v>5112</v>
      </c>
      <c r="F2513" s="1" t="s">
        <v>49</v>
      </c>
      <c r="G2513" s="1" t="str">
        <f>"02218991202"</f>
        <v>02218991202</v>
      </c>
      <c r="I2513" s="1" t="s">
        <v>5113</v>
      </c>
      <c r="L2513" s="1" t="s">
        <v>44</v>
      </c>
      <c r="M2513" s="1" t="s">
        <v>5114</v>
      </c>
      <c r="AG2513" s="1" t="s">
        <v>5115</v>
      </c>
      <c r="AH2513" s="2">
        <v>44927</v>
      </c>
      <c r="AI2513" s="2">
        <v>45291</v>
      </c>
      <c r="AJ2513" s="2">
        <v>44927</v>
      </c>
    </row>
    <row r="2514" spans="1:36">
      <c r="A2514" s="1" t="str">
        <f>"ZC43B76911"</f>
        <v>ZC43B76911</v>
      </c>
      <c r="B2514" s="1" t="str">
        <f t="shared" si="61"/>
        <v>02406911202</v>
      </c>
      <c r="C2514" s="1" t="s">
        <v>13</v>
      </c>
      <c r="D2514" s="1" t="s">
        <v>1741</v>
      </c>
      <c r="E2514" s="1" t="s">
        <v>5116</v>
      </c>
      <c r="F2514" s="1" t="s">
        <v>49</v>
      </c>
      <c r="G2514" s="1" t="str">
        <f>"03349070361"</f>
        <v>03349070361</v>
      </c>
      <c r="I2514" s="1" t="s">
        <v>1885</v>
      </c>
      <c r="L2514" s="1" t="s">
        <v>44</v>
      </c>
      <c r="M2514" s="1" t="s">
        <v>5117</v>
      </c>
      <c r="AG2514" s="1" t="s">
        <v>5117</v>
      </c>
      <c r="AH2514" s="2">
        <v>45084</v>
      </c>
      <c r="AI2514" s="2">
        <v>45291</v>
      </c>
      <c r="AJ2514" s="2">
        <v>45084</v>
      </c>
    </row>
    <row r="2515" spans="1:36">
      <c r="A2515" s="1" t="str">
        <f>"988088081E"</f>
        <v>988088081E</v>
      </c>
      <c r="B2515" s="1" t="str">
        <f t="shared" si="61"/>
        <v>02406911202</v>
      </c>
      <c r="C2515" s="1" t="s">
        <v>13</v>
      </c>
      <c r="D2515" s="1" t="s">
        <v>1253</v>
      </c>
      <c r="E2515" s="1" t="s">
        <v>1260</v>
      </c>
      <c r="F2515" s="1" t="s">
        <v>49</v>
      </c>
      <c r="G2515" s="1" t="str">
        <f>"09270550016"</f>
        <v>09270550016</v>
      </c>
      <c r="I2515" s="1" t="s">
        <v>1328</v>
      </c>
      <c r="L2515" s="1" t="s">
        <v>44</v>
      </c>
      <c r="M2515" s="1" t="s">
        <v>2849</v>
      </c>
      <c r="AG2515" s="1" t="s">
        <v>5118</v>
      </c>
      <c r="AH2515" s="2">
        <v>45093</v>
      </c>
      <c r="AI2515" s="2">
        <v>45291</v>
      </c>
      <c r="AJ2515" s="2">
        <v>45093</v>
      </c>
    </row>
    <row r="2516" spans="1:36">
      <c r="A2516" s="1" t="str">
        <f>"Z513BA042A"</f>
        <v>Z513BA042A</v>
      </c>
      <c r="B2516" s="1" t="str">
        <f t="shared" si="61"/>
        <v>02406911202</v>
      </c>
      <c r="C2516" s="1" t="s">
        <v>13</v>
      </c>
      <c r="D2516" s="1" t="s">
        <v>205</v>
      </c>
      <c r="E2516" s="1" t="s">
        <v>5119</v>
      </c>
      <c r="F2516" s="1" t="s">
        <v>39</v>
      </c>
      <c r="G2516" s="1" t="str">
        <f>"02718421205"</f>
        <v>02718421205</v>
      </c>
      <c r="I2516" s="1" t="s">
        <v>2157</v>
      </c>
      <c r="L2516" s="1" t="s">
        <v>44</v>
      </c>
      <c r="M2516" s="1" t="s">
        <v>2739</v>
      </c>
      <c r="AG2516" s="1" t="s">
        <v>5120</v>
      </c>
      <c r="AH2516" s="2">
        <v>45033</v>
      </c>
      <c r="AI2516" s="2">
        <v>45291</v>
      </c>
      <c r="AJ2516" s="2">
        <v>45033</v>
      </c>
    </row>
    <row r="2517" spans="1:36">
      <c r="A2517" s="1" t="str">
        <f>"Z8D3BAAC4F"</f>
        <v>Z8D3BAAC4F</v>
      </c>
      <c r="B2517" s="1" t="str">
        <f t="shared" si="61"/>
        <v>02406911202</v>
      </c>
      <c r="C2517" s="1" t="s">
        <v>13</v>
      </c>
      <c r="D2517" s="1" t="s">
        <v>1312</v>
      </c>
      <c r="E2517" s="1" t="s">
        <v>5121</v>
      </c>
      <c r="F2517" s="1" t="s">
        <v>49</v>
      </c>
      <c r="G2517" s="1" t="str">
        <f>"09018810151"</f>
        <v>09018810151</v>
      </c>
      <c r="I2517" s="1" t="s">
        <v>1542</v>
      </c>
      <c r="L2517" s="1" t="s">
        <v>44</v>
      </c>
      <c r="M2517" s="1" t="s">
        <v>1314</v>
      </c>
      <c r="AG2517" s="1" t="s">
        <v>124</v>
      </c>
      <c r="AH2517" s="2">
        <v>45100</v>
      </c>
      <c r="AI2517" s="2">
        <v>45169</v>
      </c>
      <c r="AJ2517" s="2">
        <v>45100</v>
      </c>
    </row>
    <row r="2518" spans="1:36">
      <c r="A2518" s="1" t="str">
        <f>"ZBA3BBC320"</f>
        <v>ZBA3BBC320</v>
      </c>
      <c r="B2518" s="1" t="str">
        <f t="shared" si="61"/>
        <v>02406911202</v>
      </c>
      <c r="C2518" s="1" t="s">
        <v>13</v>
      </c>
      <c r="D2518" s="1" t="s">
        <v>1257</v>
      </c>
      <c r="E2518" s="1" t="s">
        <v>5122</v>
      </c>
      <c r="F2518" s="1" t="s">
        <v>49</v>
      </c>
      <c r="G2518" s="1" t="str">
        <f>"01170970998"</f>
        <v>01170970998</v>
      </c>
      <c r="I2518" s="1" t="s">
        <v>5123</v>
      </c>
      <c r="L2518" s="1" t="s">
        <v>44</v>
      </c>
      <c r="M2518" s="1" t="s">
        <v>930</v>
      </c>
      <c r="AG2518" s="1" t="s">
        <v>2391</v>
      </c>
      <c r="AH2518" s="2">
        <v>45106</v>
      </c>
      <c r="AI2518" s="2">
        <v>45291</v>
      </c>
      <c r="AJ2518" s="2">
        <v>45106</v>
      </c>
    </row>
    <row r="2519" spans="1:36">
      <c r="A2519" s="1" t="str">
        <f>"Z183BC0F14"</f>
        <v>Z183BC0F14</v>
      </c>
      <c r="B2519" s="1" t="str">
        <f t="shared" si="61"/>
        <v>02406911202</v>
      </c>
      <c r="C2519" s="1" t="s">
        <v>13</v>
      </c>
      <c r="D2519" s="1" t="s">
        <v>1253</v>
      </c>
      <c r="E2519" s="1" t="s">
        <v>1317</v>
      </c>
      <c r="F2519" s="1" t="s">
        <v>49</v>
      </c>
      <c r="G2519" s="1" t="str">
        <f>"01740391204"</f>
        <v>01740391204</v>
      </c>
      <c r="I2519" s="1" t="s">
        <v>1847</v>
      </c>
      <c r="L2519" s="1" t="s">
        <v>44</v>
      </c>
      <c r="M2519" s="1" t="s">
        <v>1255</v>
      </c>
      <c r="AG2519" s="1" t="s">
        <v>5124</v>
      </c>
      <c r="AH2519" s="2">
        <v>45107</v>
      </c>
      <c r="AI2519" s="2">
        <v>45291</v>
      </c>
      <c r="AJ2519" s="2">
        <v>45107</v>
      </c>
    </row>
    <row r="2520" spans="1:36">
      <c r="A2520" s="1" t="str">
        <f>"Z173AB5906"</f>
        <v>Z173AB5906</v>
      </c>
      <c r="B2520" s="1" t="str">
        <f t="shared" si="61"/>
        <v>02406911202</v>
      </c>
      <c r="C2520" s="1" t="s">
        <v>13</v>
      </c>
      <c r="D2520" s="1" t="s">
        <v>205</v>
      </c>
      <c r="E2520" s="1" t="s">
        <v>5125</v>
      </c>
      <c r="F2520" s="1" t="s">
        <v>49</v>
      </c>
      <c r="G2520" s="1" t="str">
        <f>"03244641209"</f>
        <v>03244641209</v>
      </c>
      <c r="I2520" s="1" t="s">
        <v>5126</v>
      </c>
      <c r="L2520" s="1" t="s">
        <v>44</v>
      </c>
      <c r="M2520" s="1" t="s">
        <v>4020</v>
      </c>
      <c r="AG2520" s="1" t="s">
        <v>124</v>
      </c>
      <c r="AH2520" s="2">
        <v>44986</v>
      </c>
      <c r="AI2520" s="2">
        <v>45291</v>
      </c>
      <c r="AJ2520" s="2">
        <v>44986</v>
      </c>
    </row>
    <row r="2521" spans="1:36">
      <c r="A2521" s="1" t="str">
        <f>"Z073AB26A1"</f>
        <v>Z073AB26A1</v>
      </c>
      <c r="B2521" s="1" t="str">
        <f t="shared" si="61"/>
        <v>02406911202</v>
      </c>
      <c r="C2521" s="1" t="s">
        <v>13</v>
      </c>
      <c r="D2521" s="1" t="s">
        <v>1253</v>
      </c>
      <c r="E2521" s="1" t="s">
        <v>1260</v>
      </c>
      <c r="F2521" s="1" t="s">
        <v>49</v>
      </c>
      <c r="G2521" s="1" t="str">
        <f>"02606120349"</f>
        <v>02606120349</v>
      </c>
      <c r="I2521" s="1" t="s">
        <v>595</v>
      </c>
      <c r="L2521" s="1" t="s">
        <v>44</v>
      </c>
      <c r="M2521" s="1" t="s">
        <v>1255</v>
      </c>
      <c r="AG2521" s="1" t="s">
        <v>5127</v>
      </c>
      <c r="AH2521" s="2">
        <v>45028</v>
      </c>
      <c r="AI2521" s="2">
        <v>45291</v>
      </c>
      <c r="AJ2521" s="2">
        <v>45028</v>
      </c>
    </row>
    <row r="2522" spans="1:36">
      <c r="A2522" s="1" t="str">
        <f>"ZF73ADAEB2"</f>
        <v>ZF73ADAEB2</v>
      </c>
      <c r="B2522" s="1" t="str">
        <f t="shared" si="61"/>
        <v>02406911202</v>
      </c>
      <c r="C2522" s="1" t="s">
        <v>13</v>
      </c>
      <c r="D2522" s="1" t="s">
        <v>1253</v>
      </c>
      <c r="E2522" s="1" t="s">
        <v>1260</v>
      </c>
      <c r="F2522" s="1" t="s">
        <v>49</v>
      </c>
      <c r="G2522" s="1" t="str">
        <f>"06828580966"</f>
        <v>06828580966</v>
      </c>
      <c r="I2522" s="1" t="s">
        <v>3704</v>
      </c>
      <c r="L2522" s="1" t="s">
        <v>44</v>
      </c>
      <c r="M2522" s="1" t="s">
        <v>1255</v>
      </c>
      <c r="AG2522" s="1" t="s">
        <v>3964</v>
      </c>
      <c r="AH2522" s="2">
        <v>45044</v>
      </c>
      <c r="AI2522" s="2">
        <v>45291</v>
      </c>
      <c r="AJ2522" s="2">
        <v>45044</v>
      </c>
    </row>
    <row r="2523" spans="1:36">
      <c r="A2523" s="1" t="str">
        <f>"Z2C3ADAEE3"</f>
        <v>Z2C3ADAEE3</v>
      </c>
      <c r="B2523" s="1" t="str">
        <f t="shared" si="61"/>
        <v>02406911202</v>
      </c>
      <c r="C2523" s="1" t="s">
        <v>13</v>
      </c>
      <c r="D2523" s="1" t="s">
        <v>1253</v>
      </c>
      <c r="E2523" s="1" t="s">
        <v>1254</v>
      </c>
      <c r="F2523" s="1" t="s">
        <v>49</v>
      </c>
      <c r="G2523" s="1" t="str">
        <f>"04384410017"</f>
        <v>04384410017</v>
      </c>
      <c r="I2523" s="1" t="s">
        <v>4022</v>
      </c>
      <c r="L2523" s="1" t="s">
        <v>44</v>
      </c>
      <c r="M2523" s="1" t="s">
        <v>1255</v>
      </c>
      <c r="AG2523" s="1" t="s">
        <v>5128</v>
      </c>
      <c r="AH2523" s="2">
        <v>45044</v>
      </c>
      <c r="AI2523" s="2">
        <v>45291</v>
      </c>
      <c r="AJ2523" s="2">
        <v>45044</v>
      </c>
    </row>
    <row r="2524" spans="1:36">
      <c r="A2524" s="1" t="str">
        <f>"9876698D04"</f>
        <v>9876698D04</v>
      </c>
      <c r="B2524" s="1" t="str">
        <f t="shared" si="61"/>
        <v>02406911202</v>
      </c>
      <c r="C2524" s="1" t="s">
        <v>13</v>
      </c>
      <c r="D2524" s="1" t="s">
        <v>37</v>
      </c>
      <c r="E2524" s="1" t="s">
        <v>5129</v>
      </c>
      <c r="F2524" s="1" t="s">
        <v>117</v>
      </c>
      <c r="G2524" s="1" t="str">
        <f>"10338640963"</f>
        <v>10338640963</v>
      </c>
      <c r="I2524" s="1" t="s">
        <v>278</v>
      </c>
      <c r="L2524" s="1" t="s">
        <v>44</v>
      </c>
      <c r="M2524" s="1" t="s">
        <v>5130</v>
      </c>
      <c r="AG2524" s="1" t="s">
        <v>124</v>
      </c>
      <c r="AH2524" s="2">
        <v>45089</v>
      </c>
      <c r="AI2524" s="2">
        <v>46863</v>
      </c>
      <c r="AJ2524" s="2">
        <v>45089</v>
      </c>
    </row>
    <row r="2525" spans="1:36">
      <c r="A2525" s="1" t="str">
        <f>"9876741084"</f>
        <v>9876741084</v>
      </c>
      <c r="B2525" s="1" t="str">
        <f t="shared" si="61"/>
        <v>02406911202</v>
      </c>
      <c r="C2525" s="1" t="s">
        <v>13</v>
      </c>
      <c r="D2525" s="1" t="s">
        <v>37</v>
      </c>
      <c r="E2525" s="1" t="s">
        <v>5131</v>
      </c>
      <c r="F2525" s="1" t="s">
        <v>117</v>
      </c>
      <c r="G2525" s="1" t="str">
        <f>"05688870483"</f>
        <v>05688870483</v>
      </c>
      <c r="I2525" s="1" t="s">
        <v>264</v>
      </c>
      <c r="L2525" s="1" t="s">
        <v>44</v>
      </c>
      <c r="M2525" s="1" t="s">
        <v>5132</v>
      </c>
      <c r="AG2525" s="1" t="s">
        <v>5133</v>
      </c>
      <c r="AH2525" s="2">
        <v>45089</v>
      </c>
      <c r="AI2525" s="2">
        <v>46902</v>
      </c>
      <c r="AJ2525" s="2">
        <v>45089</v>
      </c>
    </row>
    <row r="2526" spans="1:36">
      <c r="A2526" s="1" t="str">
        <f>"98767686CA"</f>
        <v>98767686CA</v>
      </c>
      <c r="B2526" s="1" t="str">
        <f t="shared" si="61"/>
        <v>02406911202</v>
      </c>
      <c r="C2526" s="1" t="s">
        <v>13</v>
      </c>
      <c r="D2526" s="1" t="s">
        <v>37</v>
      </c>
      <c r="E2526" s="1" t="s">
        <v>5134</v>
      </c>
      <c r="F2526" s="1" t="s">
        <v>117</v>
      </c>
      <c r="G2526" s="1" t="str">
        <f>"10338640963"</f>
        <v>10338640963</v>
      </c>
      <c r="I2526" s="1" t="s">
        <v>278</v>
      </c>
      <c r="L2526" s="1" t="s">
        <v>44</v>
      </c>
      <c r="M2526" s="1" t="s">
        <v>5135</v>
      </c>
      <c r="AG2526" s="1" t="s">
        <v>124</v>
      </c>
      <c r="AH2526" s="2">
        <v>45089</v>
      </c>
      <c r="AI2526" s="2">
        <v>46863</v>
      </c>
      <c r="AJ2526" s="2">
        <v>45089</v>
      </c>
    </row>
    <row r="2527" spans="1:36">
      <c r="A2527" s="1" t="str">
        <f>"9728629E9C"</f>
        <v>9728629E9C</v>
      </c>
      <c r="B2527" s="1" t="str">
        <f t="shared" si="61"/>
        <v>02406911202</v>
      </c>
      <c r="C2527" s="1" t="s">
        <v>13</v>
      </c>
      <c r="D2527" s="1" t="s">
        <v>37</v>
      </c>
      <c r="E2527" s="1" t="s">
        <v>5136</v>
      </c>
      <c r="F2527" s="1" t="s">
        <v>117</v>
      </c>
      <c r="G2527" s="1" t="str">
        <f>"02102821002"</f>
        <v>02102821002</v>
      </c>
      <c r="I2527" s="1" t="s">
        <v>1538</v>
      </c>
      <c r="L2527" s="1" t="s">
        <v>44</v>
      </c>
      <c r="M2527" s="1" t="s">
        <v>5137</v>
      </c>
      <c r="AG2527" s="1" t="s">
        <v>124</v>
      </c>
      <c r="AH2527" s="2">
        <v>45048</v>
      </c>
      <c r="AI2527" s="2">
        <v>45291</v>
      </c>
      <c r="AJ2527" s="2">
        <v>45048</v>
      </c>
    </row>
    <row r="2528" spans="1:36">
      <c r="A2528" s="1" t="str">
        <f>"Z993B0F236"</f>
        <v>Z993B0F236</v>
      </c>
      <c r="B2528" s="1" t="str">
        <f t="shared" si="61"/>
        <v>02406911202</v>
      </c>
      <c r="C2528" s="1" t="s">
        <v>13</v>
      </c>
      <c r="D2528" s="1" t="s">
        <v>205</v>
      </c>
      <c r="E2528" s="1" t="s">
        <v>5138</v>
      </c>
      <c r="F2528" s="1" t="s">
        <v>49</v>
      </c>
      <c r="G2528" s="1" t="str">
        <f>"03950931208"</f>
        <v>03950931208</v>
      </c>
      <c r="I2528" s="1" t="s">
        <v>5139</v>
      </c>
      <c r="L2528" s="1" t="s">
        <v>44</v>
      </c>
      <c r="M2528" s="1" t="s">
        <v>5140</v>
      </c>
      <c r="AG2528" s="1" t="s">
        <v>5141</v>
      </c>
      <c r="AH2528" s="2">
        <v>44927</v>
      </c>
      <c r="AI2528" s="2">
        <v>45291</v>
      </c>
      <c r="AJ2528" s="2">
        <v>44927</v>
      </c>
    </row>
    <row r="2529" spans="1:36">
      <c r="A2529" s="1" t="str">
        <f>"ZA23B0F2AD"</f>
        <v>ZA23B0F2AD</v>
      </c>
      <c r="B2529" s="1" t="str">
        <f t="shared" si="61"/>
        <v>02406911202</v>
      </c>
      <c r="C2529" s="1" t="s">
        <v>13</v>
      </c>
      <c r="D2529" s="1" t="s">
        <v>205</v>
      </c>
      <c r="E2529" s="1" t="s">
        <v>5142</v>
      </c>
      <c r="F2529" s="1" t="s">
        <v>49</v>
      </c>
      <c r="G2529" s="1" t="str">
        <f>"02307041208"</f>
        <v>02307041208</v>
      </c>
      <c r="I2529" s="1" t="s">
        <v>5143</v>
      </c>
      <c r="L2529" s="1" t="s">
        <v>44</v>
      </c>
      <c r="M2529" s="1" t="s">
        <v>5144</v>
      </c>
      <c r="AG2529" s="1" t="s">
        <v>5145</v>
      </c>
      <c r="AH2529" s="2">
        <v>44927</v>
      </c>
      <c r="AI2529" s="2">
        <v>45291</v>
      </c>
      <c r="AJ2529" s="2">
        <v>44927</v>
      </c>
    </row>
    <row r="2530" spans="1:36">
      <c r="A2530" s="1" t="str">
        <f>"ZD13B0F394"</f>
        <v>ZD13B0F394</v>
      </c>
      <c r="B2530" s="1" t="str">
        <f t="shared" si="61"/>
        <v>02406911202</v>
      </c>
      <c r="C2530" s="1" t="s">
        <v>13</v>
      </c>
      <c r="D2530" s="1" t="s">
        <v>205</v>
      </c>
      <c r="E2530" s="1" t="s">
        <v>5146</v>
      </c>
      <c r="F2530" s="1" t="s">
        <v>49</v>
      </c>
      <c r="G2530" s="1" t="str">
        <f>"02219001209"</f>
        <v>02219001209</v>
      </c>
      <c r="I2530" s="1" t="s">
        <v>5147</v>
      </c>
      <c r="L2530" s="1" t="s">
        <v>44</v>
      </c>
      <c r="M2530" s="1" t="s">
        <v>5148</v>
      </c>
      <c r="AG2530" s="1" t="s">
        <v>5149</v>
      </c>
      <c r="AH2530" s="2">
        <v>44927</v>
      </c>
      <c r="AI2530" s="2">
        <v>45291</v>
      </c>
      <c r="AJ2530" s="2">
        <v>44927</v>
      </c>
    </row>
    <row r="2531" spans="1:36">
      <c r="A2531" s="1" t="str">
        <f>"ZF93B0F48E"</f>
        <v>ZF93B0F48E</v>
      </c>
      <c r="B2531" s="1" t="str">
        <f t="shared" si="61"/>
        <v>02406911202</v>
      </c>
      <c r="C2531" s="1" t="s">
        <v>13</v>
      </c>
      <c r="D2531" s="1" t="s">
        <v>205</v>
      </c>
      <c r="E2531" s="1" t="s">
        <v>5150</v>
      </c>
      <c r="F2531" s="1" t="s">
        <v>49</v>
      </c>
      <c r="G2531" s="1" t="str">
        <f>"02071911206"</f>
        <v>02071911206</v>
      </c>
      <c r="I2531" s="1" t="s">
        <v>5151</v>
      </c>
      <c r="L2531" s="1" t="s">
        <v>44</v>
      </c>
      <c r="M2531" s="1" t="s">
        <v>5152</v>
      </c>
      <c r="AG2531" s="1" t="s">
        <v>5153</v>
      </c>
      <c r="AH2531" s="2">
        <v>44927</v>
      </c>
      <c r="AI2531" s="2">
        <v>45291</v>
      </c>
      <c r="AJ2531" s="2">
        <v>44927</v>
      </c>
    </row>
    <row r="2532" spans="1:36">
      <c r="A2532" s="1" t="str">
        <f>"Z7B3B0F4E9"</f>
        <v>Z7B3B0F4E9</v>
      </c>
      <c r="B2532" s="1" t="str">
        <f t="shared" si="61"/>
        <v>02406911202</v>
      </c>
      <c r="C2532" s="1" t="s">
        <v>13</v>
      </c>
      <c r="D2532" s="1" t="s">
        <v>205</v>
      </c>
      <c r="E2532" s="1" t="s">
        <v>5154</v>
      </c>
      <c r="F2532" s="1" t="s">
        <v>49</v>
      </c>
      <c r="G2532" s="1" t="str">
        <f>"03279660371"</f>
        <v>03279660371</v>
      </c>
      <c r="I2532" s="1" t="s">
        <v>5155</v>
      </c>
      <c r="L2532" s="1" t="s">
        <v>44</v>
      </c>
      <c r="M2532" s="1" t="s">
        <v>5156</v>
      </c>
      <c r="AG2532" s="1" t="s">
        <v>5157</v>
      </c>
      <c r="AH2532" s="2">
        <v>44927</v>
      </c>
      <c r="AI2532" s="2">
        <v>45291</v>
      </c>
      <c r="AJ2532" s="2">
        <v>44927</v>
      </c>
    </row>
    <row r="2533" spans="1:36">
      <c r="A2533" s="1" t="str">
        <f>"ZE63B0F551"</f>
        <v>ZE63B0F551</v>
      </c>
      <c r="B2533" s="1" t="str">
        <f t="shared" si="61"/>
        <v>02406911202</v>
      </c>
      <c r="C2533" s="1" t="s">
        <v>13</v>
      </c>
      <c r="D2533" s="1" t="s">
        <v>205</v>
      </c>
      <c r="E2533" s="1" t="s">
        <v>5158</v>
      </c>
      <c r="F2533" s="1" t="s">
        <v>49</v>
      </c>
      <c r="G2533" s="1" t="str">
        <f>"01881301202"</f>
        <v>01881301202</v>
      </c>
      <c r="I2533" s="1" t="s">
        <v>5159</v>
      </c>
      <c r="L2533" s="1" t="s">
        <v>44</v>
      </c>
      <c r="M2533" s="1" t="s">
        <v>5160</v>
      </c>
      <c r="AG2533" s="1" t="s">
        <v>5161</v>
      </c>
      <c r="AH2533" s="2">
        <v>44927</v>
      </c>
      <c r="AI2533" s="2">
        <v>45291</v>
      </c>
      <c r="AJ2533" s="2">
        <v>44927</v>
      </c>
    </row>
    <row r="2534" spans="1:36">
      <c r="A2534" s="1" t="str">
        <f>"Z503B0F611"</f>
        <v>Z503B0F611</v>
      </c>
      <c r="B2534" s="1" t="str">
        <f t="shared" si="61"/>
        <v>02406911202</v>
      </c>
      <c r="C2534" s="1" t="s">
        <v>13</v>
      </c>
      <c r="D2534" s="1" t="s">
        <v>205</v>
      </c>
      <c r="E2534" s="1" t="s">
        <v>5162</v>
      </c>
      <c r="F2534" s="1" t="s">
        <v>49</v>
      </c>
      <c r="G2534" s="1" t="str">
        <f>"03712290372"</f>
        <v>03712290372</v>
      </c>
      <c r="I2534" s="1" t="s">
        <v>5163</v>
      </c>
      <c r="L2534" s="1" t="s">
        <v>44</v>
      </c>
      <c r="M2534" s="1" t="s">
        <v>5164</v>
      </c>
      <c r="AG2534" s="1" t="s">
        <v>5165</v>
      </c>
      <c r="AH2534" s="2">
        <v>44927</v>
      </c>
      <c r="AI2534" s="2">
        <v>45291</v>
      </c>
      <c r="AJ2534" s="2">
        <v>44927</v>
      </c>
    </row>
    <row r="2535" spans="1:36">
      <c r="A2535" s="1" t="str">
        <f>"ZEA3B0F665"</f>
        <v>ZEA3B0F665</v>
      </c>
      <c r="B2535" s="1" t="str">
        <f t="shared" si="61"/>
        <v>02406911202</v>
      </c>
      <c r="C2535" s="1" t="s">
        <v>13</v>
      </c>
      <c r="D2535" s="1" t="s">
        <v>205</v>
      </c>
      <c r="E2535" s="1" t="s">
        <v>5166</v>
      </c>
      <c r="F2535" s="1" t="s">
        <v>49</v>
      </c>
      <c r="G2535" s="1" t="str">
        <f>"03612181200"</f>
        <v>03612181200</v>
      </c>
      <c r="I2535" s="1" t="s">
        <v>5167</v>
      </c>
      <c r="L2535" s="1" t="s">
        <v>44</v>
      </c>
      <c r="M2535" s="1" t="s">
        <v>5168</v>
      </c>
      <c r="AG2535" s="1" t="s">
        <v>5169</v>
      </c>
      <c r="AH2535" s="2">
        <v>44927</v>
      </c>
      <c r="AI2535" s="2">
        <v>45291</v>
      </c>
      <c r="AJ2535" s="2">
        <v>44927</v>
      </c>
    </row>
    <row r="2536" spans="1:36">
      <c r="A2536" s="1" t="str">
        <f>"Z773B0F6C6"</f>
        <v>Z773B0F6C6</v>
      </c>
      <c r="B2536" s="1" t="str">
        <f t="shared" si="61"/>
        <v>02406911202</v>
      </c>
      <c r="C2536" s="1" t="s">
        <v>13</v>
      </c>
      <c r="D2536" s="1" t="s">
        <v>205</v>
      </c>
      <c r="E2536" s="1" t="s">
        <v>5170</v>
      </c>
      <c r="F2536" s="1" t="s">
        <v>49</v>
      </c>
      <c r="G2536" s="1" t="str">
        <f>"04173880370"</f>
        <v>04173880370</v>
      </c>
      <c r="I2536" s="1" t="s">
        <v>5171</v>
      </c>
      <c r="L2536" s="1" t="s">
        <v>44</v>
      </c>
      <c r="M2536" s="1" t="s">
        <v>5172</v>
      </c>
      <c r="AG2536" s="1" t="s">
        <v>5173</v>
      </c>
      <c r="AH2536" s="2">
        <v>44927</v>
      </c>
      <c r="AI2536" s="2">
        <v>45291</v>
      </c>
      <c r="AJ2536" s="2">
        <v>44927</v>
      </c>
    </row>
    <row r="2537" spans="1:36">
      <c r="A2537" s="1" t="str">
        <f>"Z7A3B2D512"</f>
        <v>Z7A3B2D512</v>
      </c>
      <c r="B2537" s="1" t="str">
        <f t="shared" si="61"/>
        <v>02406911202</v>
      </c>
      <c r="C2537" s="1" t="s">
        <v>13</v>
      </c>
      <c r="D2537" s="1" t="s">
        <v>205</v>
      </c>
      <c r="E2537" s="1" t="s">
        <v>5174</v>
      </c>
      <c r="F2537" s="1" t="s">
        <v>49</v>
      </c>
      <c r="G2537" s="1" t="str">
        <f>"02172181204"</f>
        <v>02172181204</v>
      </c>
      <c r="I2537" s="1" t="s">
        <v>5175</v>
      </c>
      <c r="L2537" s="1" t="s">
        <v>44</v>
      </c>
      <c r="M2537" s="1" t="s">
        <v>5176</v>
      </c>
      <c r="AG2537" s="1" t="s">
        <v>5177</v>
      </c>
      <c r="AH2537" s="2">
        <v>44927</v>
      </c>
      <c r="AI2537" s="2">
        <v>45291</v>
      </c>
      <c r="AJ2537" s="2">
        <v>44927</v>
      </c>
    </row>
    <row r="2538" spans="1:36">
      <c r="A2538" s="1" t="str">
        <f>"ZE63B2D9AB"</f>
        <v>ZE63B2D9AB</v>
      </c>
      <c r="B2538" s="1" t="str">
        <f t="shared" si="61"/>
        <v>02406911202</v>
      </c>
      <c r="C2538" s="1" t="s">
        <v>13</v>
      </c>
      <c r="D2538" s="1" t="s">
        <v>205</v>
      </c>
      <c r="E2538" s="1" t="s">
        <v>5178</v>
      </c>
      <c r="F2538" s="1" t="s">
        <v>49</v>
      </c>
      <c r="G2538" s="1" t="str">
        <f>"02930311200"</f>
        <v>02930311200</v>
      </c>
      <c r="I2538" s="1" t="s">
        <v>5179</v>
      </c>
      <c r="L2538" s="1" t="s">
        <v>44</v>
      </c>
      <c r="M2538" s="1" t="s">
        <v>5180</v>
      </c>
      <c r="AG2538" s="1" t="s">
        <v>5181</v>
      </c>
      <c r="AH2538" s="2">
        <v>44927</v>
      </c>
      <c r="AI2538" s="2">
        <v>45291</v>
      </c>
      <c r="AJ2538" s="2">
        <v>44927</v>
      </c>
    </row>
    <row r="2539" spans="1:36">
      <c r="A2539" s="1" t="str">
        <f>"Z063B2EAC0"</f>
        <v>Z063B2EAC0</v>
      </c>
      <c r="B2539" s="1" t="str">
        <f t="shared" si="61"/>
        <v>02406911202</v>
      </c>
      <c r="C2539" s="1" t="s">
        <v>13</v>
      </c>
      <c r="D2539" s="1" t="s">
        <v>205</v>
      </c>
      <c r="E2539" s="1" t="s">
        <v>5182</v>
      </c>
      <c r="F2539" s="1" t="s">
        <v>49</v>
      </c>
      <c r="G2539" s="1" t="str">
        <f>"03224871206"</f>
        <v>03224871206</v>
      </c>
      <c r="I2539" s="1" t="s">
        <v>5183</v>
      </c>
      <c r="L2539" s="1" t="s">
        <v>44</v>
      </c>
      <c r="M2539" s="1" t="s">
        <v>5184</v>
      </c>
      <c r="AG2539" s="1" t="s">
        <v>5185</v>
      </c>
      <c r="AH2539" s="2">
        <v>44927</v>
      </c>
      <c r="AI2539" s="2">
        <v>45291</v>
      </c>
      <c r="AJ2539" s="2">
        <v>44927</v>
      </c>
    </row>
    <row r="2540" spans="1:36">
      <c r="A2540" s="1" t="str">
        <f>"Z263A8EF73"</f>
        <v>Z263A8EF73</v>
      </c>
      <c r="B2540" s="1" t="str">
        <f t="shared" si="61"/>
        <v>02406911202</v>
      </c>
      <c r="C2540" s="1" t="s">
        <v>13</v>
      </c>
      <c r="D2540" s="1" t="s">
        <v>205</v>
      </c>
      <c r="E2540" s="1" t="s">
        <v>5186</v>
      </c>
      <c r="F2540" s="1" t="s">
        <v>49</v>
      </c>
      <c r="H2540" s="1" t="str">
        <f>"03003910365"</f>
        <v>03003910365</v>
      </c>
      <c r="I2540" s="1" t="s">
        <v>5187</v>
      </c>
      <c r="L2540" s="1" t="s">
        <v>44</v>
      </c>
      <c r="M2540" s="1" t="s">
        <v>5188</v>
      </c>
      <c r="AG2540" s="1" t="s">
        <v>124</v>
      </c>
      <c r="AH2540" s="2">
        <v>45017</v>
      </c>
      <c r="AI2540" s="2">
        <v>45473</v>
      </c>
      <c r="AJ2540" s="2">
        <v>45017</v>
      </c>
    </row>
    <row r="2541" spans="1:36">
      <c r="A2541" s="1" t="str">
        <f>"96633207ED"</f>
        <v>96633207ED</v>
      </c>
      <c r="B2541" s="1" t="str">
        <f t="shared" si="61"/>
        <v>02406911202</v>
      </c>
      <c r="C2541" s="1" t="s">
        <v>13</v>
      </c>
      <c r="D2541" s="1" t="s">
        <v>37</v>
      </c>
      <c r="E2541" s="1" t="s">
        <v>5189</v>
      </c>
      <c r="F2541" s="1" t="s">
        <v>117</v>
      </c>
      <c r="G2541" s="1" t="str">
        <f>"00488410010"</f>
        <v>00488410010</v>
      </c>
      <c r="I2541" s="1" t="s">
        <v>1200</v>
      </c>
      <c r="L2541" s="1" t="s">
        <v>44</v>
      </c>
      <c r="M2541" s="1" t="s">
        <v>1629</v>
      </c>
      <c r="AG2541" s="1" t="s">
        <v>5190</v>
      </c>
      <c r="AH2541" s="2">
        <v>44986</v>
      </c>
      <c r="AI2541" s="2">
        <v>46220</v>
      </c>
      <c r="AJ2541" s="2">
        <v>44986</v>
      </c>
    </row>
    <row r="2542" spans="1:36">
      <c r="A2542" s="1" t="str">
        <f>"ZA73AB8E8B"</f>
        <v>ZA73AB8E8B</v>
      </c>
      <c r="B2542" s="1" t="str">
        <f t="shared" si="61"/>
        <v>02406911202</v>
      </c>
      <c r="C2542" s="1" t="s">
        <v>13</v>
      </c>
      <c r="D2542" s="1" t="s">
        <v>1253</v>
      </c>
      <c r="E2542" s="1" t="s">
        <v>1387</v>
      </c>
      <c r="F2542" s="1" t="s">
        <v>49</v>
      </c>
      <c r="G2542" s="1" t="str">
        <f>"11654150157"</f>
        <v>11654150157</v>
      </c>
      <c r="I2542" s="1" t="s">
        <v>1468</v>
      </c>
      <c r="L2542" s="1" t="s">
        <v>44</v>
      </c>
      <c r="M2542" s="1" t="s">
        <v>1255</v>
      </c>
      <c r="AG2542" s="1" t="s">
        <v>5191</v>
      </c>
      <c r="AH2542" s="2">
        <v>45023</v>
      </c>
      <c r="AI2542" s="2">
        <v>45291</v>
      </c>
      <c r="AJ2542" s="2">
        <v>45023</v>
      </c>
    </row>
    <row r="2543" spans="1:36">
      <c r="A2543" s="1" t="str">
        <f>"Z8A3ADFB35"</f>
        <v>Z8A3ADFB35</v>
      </c>
      <c r="B2543" s="1" t="str">
        <f t="shared" si="61"/>
        <v>02406911202</v>
      </c>
      <c r="C2543" s="1" t="s">
        <v>13</v>
      </c>
      <c r="D2543" s="1" t="s">
        <v>37</v>
      </c>
      <c r="E2543" s="1" t="s">
        <v>4875</v>
      </c>
      <c r="F2543" s="1" t="s">
        <v>117</v>
      </c>
      <c r="G2543" s="1" t="str">
        <f>"01418430359"</f>
        <v>01418430359</v>
      </c>
      <c r="I2543" s="1" t="s">
        <v>4703</v>
      </c>
      <c r="L2543" s="1" t="s">
        <v>44</v>
      </c>
      <c r="M2543" s="1" t="s">
        <v>5192</v>
      </c>
      <c r="AG2543" s="1" t="s">
        <v>124</v>
      </c>
      <c r="AH2543" s="2">
        <v>45017</v>
      </c>
      <c r="AI2543" s="2">
        <v>45382</v>
      </c>
      <c r="AJ2543" s="2">
        <v>45017</v>
      </c>
    </row>
    <row r="2544" spans="1:36">
      <c r="A2544" s="1" t="str">
        <f>"9792494DAD"</f>
        <v>9792494DAD</v>
      </c>
      <c r="B2544" s="1" t="str">
        <f t="shared" si="61"/>
        <v>02406911202</v>
      </c>
      <c r="C2544" s="1" t="s">
        <v>13</v>
      </c>
      <c r="D2544" s="1" t="s">
        <v>37</v>
      </c>
      <c r="E2544" s="1" t="s">
        <v>4171</v>
      </c>
      <c r="F2544" s="1" t="s">
        <v>117</v>
      </c>
      <c r="G2544" s="1" t="str">
        <f>"09238800156"</f>
        <v>09238800156</v>
      </c>
      <c r="I2544" s="1" t="s">
        <v>88</v>
      </c>
      <c r="L2544" s="1" t="s">
        <v>44</v>
      </c>
      <c r="M2544" s="1" t="s">
        <v>528</v>
      </c>
      <c r="AG2544" s="1" t="s">
        <v>5193</v>
      </c>
      <c r="AH2544" s="2">
        <v>45053</v>
      </c>
      <c r="AI2544" s="2">
        <v>45412</v>
      </c>
      <c r="AJ2544" s="2">
        <v>45053</v>
      </c>
    </row>
    <row r="2545" spans="1:36">
      <c r="A2545" s="1" t="str">
        <f>"Z773B18BCE"</f>
        <v>Z773B18BCE</v>
      </c>
      <c r="B2545" s="1" t="str">
        <f t="shared" si="61"/>
        <v>02406911202</v>
      </c>
      <c r="C2545" s="1" t="s">
        <v>13</v>
      </c>
      <c r="D2545" s="1" t="s">
        <v>1253</v>
      </c>
      <c r="E2545" s="1" t="s">
        <v>1260</v>
      </c>
      <c r="F2545" s="1" t="s">
        <v>49</v>
      </c>
      <c r="G2545" s="1" t="str">
        <f>"11408800966"</f>
        <v>11408800966</v>
      </c>
      <c r="I2545" s="1" t="s">
        <v>1930</v>
      </c>
      <c r="L2545" s="1" t="s">
        <v>44</v>
      </c>
      <c r="M2545" s="1" t="s">
        <v>1255</v>
      </c>
      <c r="AG2545" s="1" t="s">
        <v>4885</v>
      </c>
      <c r="AH2545" s="2">
        <v>45056</v>
      </c>
      <c r="AI2545" s="2">
        <v>45291</v>
      </c>
      <c r="AJ2545" s="2">
        <v>45056</v>
      </c>
    </row>
    <row r="2546" spans="1:36">
      <c r="A2546" s="1" t="str">
        <f>"ZD83B18B7A"</f>
        <v>ZD83B18B7A</v>
      </c>
      <c r="B2546" s="1" t="str">
        <f t="shared" si="61"/>
        <v>02406911202</v>
      </c>
      <c r="C2546" s="1" t="s">
        <v>13</v>
      </c>
      <c r="D2546" s="1" t="s">
        <v>1253</v>
      </c>
      <c r="E2546" s="1" t="s">
        <v>1260</v>
      </c>
      <c r="F2546" s="1" t="s">
        <v>49</v>
      </c>
      <c r="G2546" s="1" t="str">
        <f>"06032681006"</f>
        <v>06032681006</v>
      </c>
      <c r="I2546" s="1" t="s">
        <v>1351</v>
      </c>
      <c r="L2546" s="1" t="s">
        <v>44</v>
      </c>
      <c r="M2546" s="1" t="s">
        <v>1255</v>
      </c>
      <c r="AG2546" s="1" t="s">
        <v>5194</v>
      </c>
      <c r="AH2546" s="2">
        <v>45056</v>
      </c>
      <c r="AI2546" s="2">
        <v>45291</v>
      </c>
      <c r="AJ2546" s="2">
        <v>45056</v>
      </c>
    </row>
    <row r="2547" spans="1:36">
      <c r="A2547" s="1" t="str">
        <f>"ZD73B1B84F"</f>
        <v>ZD73B1B84F</v>
      </c>
      <c r="B2547" s="1" t="str">
        <f t="shared" si="61"/>
        <v>02406911202</v>
      </c>
      <c r="C2547" s="1" t="s">
        <v>13</v>
      </c>
      <c r="D2547" s="1" t="s">
        <v>1312</v>
      </c>
      <c r="E2547" s="1" t="s">
        <v>5195</v>
      </c>
      <c r="F2547" s="1" t="s">
        <v>49</v>
      </c>
      <c r="G2547" s="1" t="str">
        <f>"00549731206"</f>
        <v>00549731206</v>
      </c>
      <c r="I2547" s="1" t="s">
        <v>1391</v>
      </c>
      <c r="L2547" s="1" t="s">
        <v>44</v>
      </c>
      <c r="M2547" s="1" t="s">
        <v>1314</v>
      </c>
      <c r="AG2547" s="1" t="s">
        <v>5196</v>
      </c>
      <c r="AH2547" s="2">
        <v>45057</v>
      </c>
      <c r="AI2547" s="2">
        <v>46022</v>
      </c>
      <c r="AJ2547" s="2">
        <v>45057</v>
      </c>
    </row>
    <row r="2548" spans="1:36">
      <c r="A2548" s="1" t="str">
        <f>"ZB03B1B79A"</f>
        <v>ZB03B1B79A</v>
      </c>
      <c r="B2548" s="1" t="str">
        <f t="shared" si="61"/>
        <v>02406911202</v>
      </c>
      <c r="C2548" s="1" t="s">
        <v>13</v>
      </c>
      <c r="D2548" s="1" t="s">
        <v>1312</v>
      </c>
      <c r="E2548" s="1" t="s">
        <v>5197</v>
      </c>
      <c r="F2548" s="1" t="s">
        <v>49</v>
      </c>
      <c r="G2548" s="1" t="str">
        <f>"00803890151"</f>
        <v>00803890151</v>
      </c>
      <c r="I2548" s="1" t="s">
        <v>68</v>
      </c>
      <c r="L2548" s="1" t="s">
        <v>44</v>
      </c>
      <c r="M2548" s="1" t="s">
        <v>1314</v>
      </c>
      <c r="AG2548" s="1" t="s">
        <v>124</v>
      </c>
      <c r="AH2548" s="2">
        <v>45057</v>
      </c>
      <c r="AI2548" s="2">
        <v>46022</v>
      </c>
      <c r="AJ2548" s="2">
        <v>45057</v>
      </c>
    </row>
    <row r="2549" spans="1:36">
      <c r="A2549" s="1" t="str">
        <f>"97939807F8"</f>
        <v>97939807F8</v>
      </c>
      <c r="B2549" s="1" t="str">
        <f t="shared" si="61"/>
        <v>02406911202</v>
      </c>
      <c r="C2549" s="1" t="s">
        <v>13</v>
      </c>
      <c r="D2549" s="1" t="s">
        <v>1312</v>
      </c>
      <c r="E2549" s="1" t="s">
        <v>5198</v>
      </c>
      <c r="F2549" s="1" t="s">
        <v>49</v>
      </c>
      <c r="G2549" s="1" t="str">
        <f>"09284460962"</f>
        <v>09284460962</v>
      </c>
      <c r="I2549" s="1" t="s">
        <v>3350</v>
      </c>
      <c r="L2549" s="1" t="s">
        <v>44</v>
      </c>
      <c r="M2549" s="1" t="s">
        <v>5199</v>
      </c>
      <c r="AG2549" s="1" t="s">
        <v>5200</v>
      </c>
      <c r="AH2549" s="2">
        <v>45057</v>
      </c>
      <c r="AI2549" s="2">
        <v>45443</v>
      </c>
      <c r="AJ2549" s="2">
        <v>45057</v>
      </c>
    </row>
    <row r="2550" spans="1:36">
      <c r="A2550" s="1" t="str">
        <f>"ZD63B1F1E3"</f>
        <v>ZD63B1F1E3</v>
      </c>
      <c r="B2550" s="1" t="str">
        <f t="shared" si="61"/>
        <v>02406911202</v>
      </c>
      <c r="C2550" s="1" t="s">
        <v>13</v>
      </c>
      <c r="D2550" s="1" t="s">
        <v>1253</v>
      </c>
      <c r="E2550" s="1" t="s">
        <v>1317</v>
      </c>
      <c r="F2550" s="1" t="s">
        <v>49</v>
      </c>
      <c r="G2550" s="1" t="str">
        <f>"03524050238"</f>
        <v>03524050238</v>
      </c>
      <c r="I2550" s="1" t="s">
        <v>593</v>
      </c>
      <c r="L2550" s="1" t="s">
        <v>44</v>
      </c>
      <c r="M2550" s="1" t="s">
        <v>1255</v>
      </c>
      <c r="AG2550" s="1" t="s">
        <v>5201</v>
      </c>
      <c r="AH2550" s="2">
        <v>45057</v>
      </c>
      <c r="AI2550" s="2">
        <v>45291</v>
      </c>
      <c r="AJ2550" s="2">
        <v>45057</v>
      </c>
    </row>
    <row r="2551" spans="1:36">
      <c r="A2551" s="1" t="str">
        <f>"ZD43B2DBAE"</f>
        <v>ZD43B2DBAE</v>
      </c>
      <c r="B2551" s="1" t="str">
        <f t="shared" si="61"/>
        <v>02406911202</v>
      </c>
      <c r="C2551" s="1" t="s">
        <v>13</v>
      </c>
      <c r="D2551" s="1" t="s">
        <v>205</v>
      </c>
      <c r="E2551" s="1" t="s">
        <v>5202</v>
      </c>
      <c r="F2551" s="1" t="s">
        <v>49</v>
      </c>
      <c r="G2551" s="1" t="str">
        <f>"02677641207"</f>
        <v>02677641207</v>
      </c>
      <c r="I2551" s="1" t="s">
        <v>5203</v>
      </c>
      <c r="L2551" s="1" t="s">
        <v>44</v>
      </c>
      <c r="M2551" s="1" t="s">
        <v>5204</v>
      </c>
      <c r="AG2551" s="1" t="s">
        <v>5205</v>
      </c>
      <c r="AH2551" s="2">
        <v>44927</v>
      </c>
      <c r="AI2551" s="2">
        <v>45291</v>
      </c>
      <c r="AJ2551" s="2">
        <v>44927</v>
      </c>
    </row>
    <row r="2552" spans="1:36">
      <c r="A2552" s="1" t="str">
        <f>"Z5F3B2DC80"</f>
        <v>Z5F3B2DC80</v>
      </c>
      <c r="B2552" s="1" t="str">
        <f t="shared" si="61"/>
        <v>02406911202</v>
      </c>
      <c r="C2552" s="1" t="s">
        <v>13</v>
      </c>
      <c r="D2552" s="1" t="s">
        <v>205</v>
      </c>
      <c r="E2552" s="1" t="s">
        <v>5206</v>
      </c>
      <c r="F2552" s="1" t="s">
        <v>49</v>
      </c>
      <c r="G2552" s="1" t="str">
        <f>"02674611203"</f>
        <v>02674611203</v>
      </c>
      <c r="I2552" s="1" t="s">
        <v>5207</v>
      </c>
      <c r="L2552" s="1" t="s">
        <v>44</v>
      </c>
      <c r="M2552" s="1" t="s">
        <v>5208</v>
      </c>
      <c r="AG2552" s="1" t="s">
        <v>5209</v>
      </c>
      <c r="AH2552" s="2">
        <v>44927</v>
      </c>
      <c r="AI2552" s="2">
        <v>45291</v>
      </c>
      <c r="AJ2552" s="2">
        <v>44927</v>
      </c>
    </row>
    <row r="2553" spans="1:36">
      <c r="A2553" s="1" t="str">
        <f>"Z403B2DCF8"</f>
        <v>Z403B2DCF8</v>
      </c>
      <c r="B2553" s="1" t="str">
        <f t="shared" si="61"/>
        <v>02406911202</v>
      </c>
      <c r="C2553" s="1" t="s">
        <v>13</v>
      </c>
      <c r="D2553" s="1" t="s">
        <v>205</v>
      </c>
      <c r="E2553" s="1" t="s">
        <v>5210</v>
      </c>
      <c r="F2553" s="1" t="s">
        <v>49</v>
      </c>
      <c r="G2553" s="1" t="str">
        <f>"01619850694"</f>
        <v>01619850694</v>
      </c>
      <c r="I2553" s="1" t="s">
        <v>5211</v>
      </c>
      <c r="L2553" s="1" t="s">
        <v>44</v>
      </c>
      <c r="M2553" s="1" t="s">
        <v>5212</v>
      </c>
      <c r="AG2553" s="1" t="s">
        <v>5213</v>
      </c>
      <c r="AH2553" s="2">
        <v>44927</v>
      </c>
      <c r="AI2553" s="2">
        <v>45291</v>
      </c>
      <c r="AJ2553" s="2">
        <v>44927</v>
      </c>
    </row>
    <row r="2554" spans="1:36">
      <c r="A2554" s="1" t="str">
        <f>"Z663B2DD68"</f>
        <v>Z663B2DD68</v>
      </c>
      <c r="B2554" s="1" t="str">
        <f t="shared" si="61"/>
        <v>02406911202</v>
      </c>
      <c r="C2554" s="1" t="s">
        <v>13</v>
      </c>
      <c r="D2554" s="1" t="s">
        <v>205</v>
      </c>
      <c r="E2554" s="1" t="s">
        <v>5214</v>
      </c>
      <c r="F2554" s="1" t="s">
        <v>49</v>
      </c>
      <c r="G2554" s="1" t="str">
        <f>"02395471200"</f>
        <v>02395471200</v>
      </c>
      <c r="I2554" s="1" t="s">
        <v>5215</v>
      </c>
      <c r="L2554" s="1" t="s">
        <v>44</v>
      </c>
      <c r="M2554" s="1" t="s">
        <v>5216</v>
      </c>
      <c r="AG2554" s="1" t="s">
        <v>5217</v>
      </c>
      <c r="AH2554" s="2">
        <v>44927</v>
      </c>
      <c r="AI2554" s="2">
        <v>45291</v>
      </c>
      <c r="AJ2554" s="2">
        <v>44927</v>
      </c>
    </row>
    <row r="2555" spans="1:36">
      <c r="A2555" s="1" t="str">
        <f>"ZBA3B2DE7A"</f>
        <v>ZBA3B2DE7A</v>
      </c>
      <c r="B2555" s="1" t="str">
        <f t="shared" si="61"/>
        <v>02406911202</v>
      </c>
      <c r="C2555" s="1" t="s">
        <v>13</v>
      </c>
      <c r="D2555" s="1" t="s">
        <v>205</v>
      </c>
      <c r="E2555" s="1" t="s">
        <v>5218</v>
      </c>
      <c r="F2555" s="1" t="s">
        <v>49</v>
      </c>
      <c r="G2555" s="1" t="str">
        <f>"03687101208"</f>
        <v>03687101208</v>
      </c>
      <c r="I2555" s="1" t="s">
        <v>5219</v>
      </c>
      <c r="L2555" s="1" t="s">
        <v>44</v>
      </c>
      <c r="M2555" s="1" t="s">
        <v>5220</v>
      </c>
      <c r="AG2555" s="1" t="s">
        <v>5221</v>
      </c>
      <c r="AH2555" s="2">
        <v>44927</v>
      </c>
      <c r="AI2555" s="2">
        <v>45291</v>
      </c>
      <c r="AJ2555" s="2">
        <v>44927</v>
      </c>
    </row>
    <row r="2556" spans="1:36">
      <c r="A2556" s="1" t="str">
        <f>"Z323B2DF14"</f>
        <v>Z323B2DF14</v>
      </c>
      <c r="B2556" s="1" t="str">
        <f t="shared" si="61"/>
        <v>02406911202</v>
      </c>
      <c r="C2556" s="1" t="s">
        <v>13</v>
      </c>
      <c r="D2556" s="1" t="s">
        <v>205</v>
      </c>
      <c r="E2556" s="1" t="s">
        <v>5222</v>
      </c>
      <c r="F2556" s="1" t="s">
        <v>49</v>
      </c>
      <c r="G2556" s="1" t="str">
        <f>"02715621203"</f>
        <v>02715621203</v>
      </c>
      <c r="I2556" s="1" t="s">
        <v>5223</v>
      </c>
      <c r="L2556" s="1" t="s">
        <v>44</v>
      </c>
      <c r="M2556" s="1" t="s">
        <v>5224</v>
      </c>
      <c r="AG2556" s="1" t="s">
        <v>124</v>
      </c>
      <c r="AH2556" s="2">
        <v>44927</v>
      </c>
      <c r="AI2556" s="2">
        <v>45291</v>
      </c>
      <c r="AJ2556" s="2">
        <v>44927</v>
      </c>
    </row>
    <row r="2557" spans="1:36">
      <c r="A2557" s="1" t="str">
        <f>"9805365B2A"</f>
        <v>9805365B2A</v>
      </c>
      <c r="B2557" s="1" t="str">
        <f t="shared" si="61"/>
        <v>02406911202</v>
      </c>
      <c r="C2557" s="1" t="s">
        <v>13</v>
      </c>
      <c r="D2557" s="1" t="s">
        <v>1312</v>
      </c>
      <c r="E2557" s="1" t="s">
        <v>5225</v>
      </c>
      <c r="F2557" s="1" t="s">
        <v>49</v>
      </c>
      <c r="G2557" s="1" t="str">
        <f>"02405040284"</f>
        <v>02405040284</v>
      </c>
      <c r="I2557" s="1" t="s">
        <v>1473</v>
      </c>
      <c r="L2557" s="1" t="s">
        <v>44</v>
      </c>
      <c r="M2557" s="1" t="s">
        <v>5226</v>
      </c>
      <c r="AG2557" s="1" t="s">
        <v>5227</v>
      </c>
      <c r="AH2557" s="2">
        <v>45063</v>
      </c>
      <c r="AI2557" s="2">
        <v>45626</v>
      </c>
      <c r="AJ2557" s="2">
        <v>45063</v>
      </c>
    </row>
    <row r="2558" spans="1:36">
      <c r="A2558" s="1" t="str">
        <f>"9794605BBB"</f>
        <v>9794605BBB</v>
      </c>
      <c r="B2558" s="1" t="str">
        <f t="shared" si="61"/>
        <v>02406911202</v>
      </c>
      <c r="C2558" s="1" t="s">
        <v>13</v>
      </c>
      <c r="D2558" s="1" t="s">
        <v>37</v>
      </c>
      <c r="E2558" s="1" t="s">
        <v>5228</v>
      </c>
      <c r="F2558" s="1" t="s">
        <v>39</v>
      </c>
      <c r="G2558" s="1" t="str">
        <f>"02221310044"</f>
        <v>02221310044</v>
      </c>
      <c r="I2558" s="1" t="s">
        <v>223</v>
      </c>
      <c r="L2558" s="1" t="s">
        <v>44</v>
      </c>
      <c r="M2558" s="1" t="s">
        <v>5229</v>
      </c>
      <c r="AG2558" s="1" t="s">
        <v>5230</v>
      </c>
      <c r="AH2558" s="2">
        <v>45064</v>
      </c>
      <c r="AI2558" s="2">
        <v>45794</v>
      </c>
      <c r="AJ2558" s="2">
        <v>45064</v>
      </c>
    </row>
    <row r="2559" spans="1:36">
      <c r="A2559" s="1" t="str">
        <f>"9799964221"</f>
        <v>9799964221</v>
      </c>
      <c r="B2559" s="1" t="str">
        <f t="shared" si="61"/>
        <v>02406911202</v>
      </c>
      <c r="C2559" s="1" t="s">
        <v>13</v>
      </c>
      <c r="D2559" s="1" t="s">
        <v>37</v>
      </c>
      <c r="E2559" s="1" t="s">
        <v>5231</v>
      </c>
      <c r="F2559" s="1" t="s">
        <v>117</v>
      </c>
      <c r="G2559" s="1" t="str">
        <f>"05231661009"</f>
        <v>05231661009</v>
      </c>
      <c r="I2559" s="1" t="s">
        <v>5232</v>
      </c>
      <c r="L2559" s="1" t="s">
        <v>44</v>
      </c>
      <c r="M2559" s="1" t="s">
        <v>5233</v>
      </c>
      <c r="AG2559" s="1" t="s">
        <v>5233</v>
      </c>
      <c r="AH2559" s="2">
        <v>45057</v>
      </c>
      <c r="AI2559" s="2">
        <v>45291</v>
      </c>
      <c r="AJ2559" s="2">
        <v>45057</v>
      </c>
    </row>
    <row r="2560" spans="1:36">
      <c r="A2560" s="1" t="str">
        <f>"Z363AC5E57"</f>
        <v>Z363AC5E57</v>
      </c>
      <c r="B2560" s="1" t="str">
        <f t="shared" si="61"/>
        <v>02406911202</v>
      </c>
      <c r="C2560" s="1" t="s">
        <v>13</v>
      </c>
      <c r="D2560" s="1" t="s">
        <v>1741</v>
      </c>
      <c r="E2560" s="1" t="s">
        <v>5234</v>
      </c>
      <c r="F2560" s="1" t="s">
        <v>49</v>
      </c>
      <c r="G2560" s="1" t="str">
        <f>"04011340488"</f>
        <v>04011340488</v>
      </c>
      <c r="I2560" s="1" t="s">
        <v>5235</v>
      </c>
      <c r="L2560" s="1" t="s">
        <v>44</v>
      </c>
      <c r="M2560" s="1" t="s">
        <v>5236</v>
      </c>
      <c r="AG2560" s="1" t="s">
        <v>5236</v>
      </c>
      <c r="AH2560" s="2">
        <v>45094</v>
      </c>
      <c r="AI2560" s="2">
        <v>45459</v>
      </c>
      <c r="AJ2560" s="2">
        <v>45094</v>
      </c>
    </row>
    <row r="2561" spans="1:36">
      <c r="A2561" s="1" t="str">
        <f>"ZE13AC6245"</f>
        <v>ZE13AC6245</v>
      </c>
      <c r="B2561" s="1" t="str">
        <f t="shared" si="61"/>
        <v>02406911202</v>
      </c>
      <c r="C2561" s="1" t="s">
        <v>13</v>
      </c>
      <c r="D2561" s="1" t="s">
        <v>205</v>
      </c>
      <c r="E2561" s="1" t="s">
        <v>5237</v>
      </c>
      <c r="F2561" s="1" t="s">
        <v>49</v>
      </c>
      <c r="G2561" s="1" t="str">
        <f>"03078531203"</f>
        <v>03078531203</v>
      </c>
      <c r="I2561" s="1" t="s">
        <v>4443</v>
      </c>
      <c r="L2561" s="1" t="s">
        <v>44</v>
      </c>
      <c r="M2561" s="1" t="s">
        <v>4993</v>
      </c>
      <c r="AG2561" s="1" t="s">
        <v>4445</v>
      </c>
      <c r="AH2561" s="2">
        <v>44927</v>
      </c>
      <c r="AI2561" s="2">
        <v>45291</v>
      </c>
      <c r="AJ2561" s="2">
        <v>44927</v>
      </c>
    </row>
    <row r="2562" spans="1:36">
      <c r="A2562" s="1" t="str">
        <f>"Z853ADAE5D"</f>
        <v>Z853ADAE5D</v>
      </c>
      <c r="B2562" s="1" t="str">
        <f t="shared" si="61"/>
        <v>02406911202</v>
      </c>
      <c r="C2562" s="1" t="s">
        <v>13</v>
      </c>
      <c r="D2562" s="1" t="s">
        <v>1253</v>
      </c>
      <c r="E2562" s="1" t="s">
        <v>4293</v>
      </c>
      <c r="F2562" s="1" t="s">
        <v>49</v>
      </c>
      <c r="G2562" s="1" t="str">
        <f>"01535310427"</f>
        <v>01535310427</v>
      </c>
      <c r="I2562" s="1" t="s">
        <v>3313</v>
      </c>
      <c r="L2562" s="1" t="s">
        <v>44</v>
      </c>
      <c r="M2562" s="1" t="s">
        <v>1255</v>
      </c>
      <c r="AG2562" s="1" t="s">
        <v>5238</v>
      </c>
      <c r="AH2562" s="2">
        <v>45036</v>
      </c>
      <c r="AI2562" s="2">
        <v>45291</v>
      </c>
      <c r="AJ2562" s="2">
        <v>45036</v>
      </c>
    </row>
    <row r="2563" spans="1:36">
      <c r="A2563" s="1" t="str">
        <f>"9654265781"</f>
        <v>9654265781</v>
      </c>
      <c r="B2563" s="1" t="str">
        <f t="shared" si="61"/>
        <v>02406911202</v>
      </c>
      <c r="C2563" s="1" t="s">
        <v>13</v>
      </c>
      <c r="D2563" s="1" t="s">
        <v>37</v>
      </c>
      <c r="E2563" s="1" t="s">
        <v>5239</v>
      </c>
      <c r="F2563" s="1" t="s">
        <v>117</v>
      </c>
      <c r="G2563" s="1" t="str">
        <f>"01114601006"</f>
        <v>01114601006</v>
      </c>
      <c r="I2563" s="1" t="s">
        <v>1665</v>
      </c>
      <c r="L2563" s="1" t="s">
        <v>44</v>
      </c>
      <c r="M2563" s="1" t="s">
        <v>5240</v>
      </c>
      <c r="AG2563" s="1" t="s">
        <v>124</v>
      </c>
      <c r="AH2563" s="2">
        <v>44970</v>
      </c>
      <c r="AI2563" s="2">
        <v>46247</v>
      </c>
      <c r="AJ2563" s="2">
        <v>44970</v>
      </c>
    </row>
    <row r="2564" spans="1:36">
      <c r="A2564" s="1" t="str">
        <f>"Z793AE3560"</f>
        <v>Z793AE3560</v>
      </c>
      <c r="B2564" s="1" t="str">
        <f t="shared" si="61"/>
        <v>02406911202</v>
      </c>
      <c r="C2564" s="1" t="s">
        <v>13</v>
      </c>
      <c r="D2564" s="1" t="s">
        <v>37</v>
      </c>
      <c r="E2564" s="1" t="s">
        <v>5033</v>
      </c>
      <c r="F2564" s="1" t="s">
        <v>39</v>
      </c>
      <c r="G2564" s="1" t="str">
        <f>"08862820969"</f>
        <v>08862820969</v>
      </c>
      <c r="I2564" s="1" t="s">
        <v>146</v>
      </c>
      <c r="L2564" s="1" t="s">
        <v>44</v>
      </c>
      <c r="M2564" s="1" t="s">
        <v>744</v>
      </c>
      <c r="AG2564" s="1" t="s">
        <v>5241</v>
      </c>
      <c r="AH2564" s="2">
        <v>45047</v>
      </c>
      <c r="AI2564" s="2">
        <v>45229</v>
      </c>
      <c r="AJ2564" s="2">
        <v>45047</v>
      </c>
    </row>
    <row r="2565" spans="1:36">
      <c r="A2565" s="1" t="str">
        <f>"Z1F3AE35A1"</f>
        <v>Z1F3AE35A1</v>
      </c>
      <c r="B2565" s="1" t="str">
        <f t="shared" si="61"/>
        <v>02406911202</v>
      </c>
      <c r="C2565" s="1" t="s">
        <v>13</v>
      </c>
      <c r="D2565" s="1" t="s">
        <v>37</v>
      </c>
      <c r="E2565" s="1" t="s">
        <v>5242</v>
      </c>
      <c r="F2565" s="1" t="s">
        <v>39</v>
      </c>
      <c r="G2565" s="1" t="str">
        <f>"02307060281"</f>
        <v>02307060281</v>
      </c>
      <c r="I2565" s="1" t="s">
        <v>5243</v>
      </c>
      <c r="L2565" s="1" t="s">
        <v>44</v>
      </c>
      <c r="M2565" s="1" t="s">
        <v>5244</v>
      </c>
      <c r="AG2565" s="1" t="s">
        <v>828</v>
      </c>
      <c r="AH2565" s="2">
        <v>45047</v>
      </c>
      <c r="AI2565" s="2">
        <v>45229</v>
      </c>
      <c r="AJ2565" s="2">
        <v>45047</v>
      </c>
    </row>
    <row r="2566" spans="1:36">
      <c r="A2566" s="1" t="str">
        <f>"9787742C34"</f>
        <v>9787742C34</v>
      </c>
      <c r="B2566" s="1" t="str">
        <f t="shared" ref="B2566:B2629" si="62">"02406911202"</f>
        <v>02406911202</v>
      </c>
      <c r="C2566" s="1" t="s">
        <v>13</v>
      </c>
      <c r="D2566" s="1" t="s">
        <v>37</v>
      </c>
      <c r="E2566" s="1" t="s">
        <v>5033</v>
      </c>
      <c r="F2566" s="1" t="s">
        <v>39</v>
      </c>
      <c r="G2566" s="1" t="str">
        <f>"11570870961"</f>
        <v>11570870961</v>
      </c>
      <c r="I2566" s="1" t="s">
        <v>1597</v>
      </c>
      <c r="L2566" s="1" t="s">
        <v>44</v>
      </c>
      <c r="M2566" s="1" t="s">
        <v>467</v>
      </c>
      <c r="AG2566" s="1" t="s">
        <v>5245</v>
      </c>
      <c r="AH2566" s="2">
        <v>45047</v>
      </c>
      <c r="AI2566" s="2">
        <v>45229</v>
      </c>
      <c r="AJ2566" s="2">
        <v>45047</v>
      </c>
    </row>
    <row r="2567" spans="1:36">
      <c r="A2567" s="1" t="str">
        <f>"Z563B0CB90"</f>
        <v>Z563B0CB90</v>
      </c>
      <c r="B2567" s="1" t="str">
        <f t="shared" si="62"/>
        <v>02406911202</v>
      </c>
      <c r="C2567" s="1" t="s">
        <v>13</v>
      </c>
      <c r="D2567" s="1" t="s">
        <v>1253</v>
      </c>
      <c r="E2567" s="1" t="s">
        <v>3083</v>
      </c>
      <c r="F2567" s="1" t="s">
        <v>49</v>
      </c>
      <c r="G2567" s="1" t="str">
        <f>"01737830230"</f>
        <v>01737830230</v>
      </c>
      <c r="I2567" s="1" t="s">
        <v>1696</v>
      </c>
      <c r="L2567" s="1" t="s">
        <v>44</v>
      </c>
      <c r="M2567" s="1" t="s">
        <v>1255</v>
      </c>
      <c r="AG2567" s="1" t="s">
        <v>4754</v>
      </c>
      <c r="AH2567" s="2">
        <v>45054</v>
      </c>
      <c r="AI2567" s="2">
        <v>45291</v>
      </c>
      <c r="AJ2567" s="2">
        <v>45054</v>
      </c>
    </row>
    <row r="2568" spans="1:36">
      <c r="A2568" s="1" t="str">
        <f>"Z323B2D932"</f>
        <v>Z323B2D932</v>
      </c>
      <c r="B2568" s="1" t="str">
        <f t="shared" si="62"/>
        <v>02406911202</v>
      </c>
      <c r="C2568" s="1" t="s">
        <v>13</v>
      </c>
      <c r="D2568" s="1" t="s">
        <v>205</v>
      </c>
      <c r="E2568" s="1" t="s">
        <v>5246</v>
      </c>
      <c r="F2568" s="1" t="s">
        <v>49</v>
      </c>
      <c r="G2568" s="1" t="str">
        <f>"02654581202"</f>
        <v>02654581202</v>
      </c>
      <c r="I2568" s="1" t="s">
        <v>5247</v>
      </c>
      <c r="L2568" s="1" t="s">
        <v>44</v>
      </c>
      <c r="M2568" s="1" t="s">
        <v>5248</v>
      </c>
      <c r="AG2568" s="1" t="s">
        <v>5249</v>
      </c>
      <c r="AH2568" s="2">
        <v>44927</v>
      </c>
      <c r="AI2568" s="2">
        <v>45291</v>
      </c>
      <c r="AJ2568" s="2">
        <v>44927</v>
      </c>
    </row>
    <row r="2569" spans="1:36">
      <c r="A2569" s="1" t="str">
        <f>"Z353B2FA5C"</f>
        <v>Z353B2FA5C</v>
      </c>
      <c r="B2569" s="1" t="str">
        <f t="shared" si="62"/>
        <v>02406911202</v>
      </c>
      <c r="C2569" s="1" t="s">
        <v>13</v>
      </c>
      <c r="D2569" s="1" t="s">
        <v>205</v>
      </c>
      <c r="E2569" s="1" t="s">
        <v>5250</v>
      </c>
      <c r="F2569" s="1" t="s">
        <v>49</v>
      </c>
      <c r="G2569" s="1" t="str">
        <f>"06412641216"</f>
        <v>06412641216</v>
      </c>
      <c r="I2569" s="1" t="s">
        <v>5251</v>
      </c>
      <c r="L2569" s="1" t="s">
        <v>44</v>
      </c>
      <c r="M2569" s="1" t="s">
        <v>5252</v>
      </c>
      <c r="AG2569" s="1" t="s">
        <v>5253</v>
      </c>
      <c r="AH2569" s="2">
        <v>44927</v>
      </c>
      <c r="AI2569" s="2">
        <v>45291</v>
      </c>
      <c r="AJ2569" s="2">
        <v>44927</v>
      </c>
    </row>
    <row r="2570" spans="1:36">
      <c r="A2570" s="1" t="str">
        <f>"Z073B2FAB5"</f>
        <v>Z073B2FAB5</v>
      </c>
      <c r="B2570" s="1" t="str">
        <f t="shared" si="62"/>
        <v>02406911202</v>
      </c>
      <c r="C2570" s="1" t="s">
        <v>13</v>
      </c>
      <c r="D2570" s="1" t="s">
        <v>205</v>
      </c>
      <c r="E2570" s="1" t="s">
        <v>5254</v>
      </c>
      <c r="F2570" s="1" t="s">
        <v>49</v>
      </c>
      <c r="G2570" s="1" t="str">
        <f>"03390941205"</f>
        <v>03390941205</v>
      </c>
      <c r="I2570" s="1" t="s">
        <v>5255</v>
      </c>
      <c r="L2570" s="1" t="s">
        <v>44</v>
      </c>
      <c r="M2570" s="1" t="s">
        <v>5256</v>
      </c>
      <c r="AG2570" s="1" t="s">
        <v>5257</v>
      </c>
      <c r="AH2570" s="2">
        <v>44927</v>
      </c>
      <c r="AI2570" s="2">
        <v>45291</v>
      </c>
      <c r="AJ2570" s="2">
        <v>44927</v>
      </c>
    </row>
    <row r="2571" spans="1:36">
      <c r="A2571" s="1" t="str">
        <f>"Z4F3B2FB7C"</f>
        <v>Z4F3B2FB7C</v>
      </c>
      <c r="B2571" s="1" t="str">
        <f t="shared" si="62"/>
        <v>02406911202</v>
      </c>
      <c r="C2571" s="1" t="s">
        <v>13</v>
      </c>
      <c r="D2571" s="1" t="s">
        <v>205</v>
      </c>
      <c r="E2571" s="1" t="s">
        <v>5258</v>
      </c>
      <c r="F2571" s="1" t="s">
        <v>49</v>
      </c>
      <c r="G2571" s="1" t="str">
        <f>"03410331205"</f>
        <v>03410331205</v>
      </c>
      <c r="I2571" s="1" t="s">
        <v>5259</v>
      </c>
      <c r="L2571" s="1" t="s">
        <v>44</v>
      </c>
      <c r="M2571" s="1" t="s">
        <v>5260</v>
      </c>
      <c r="AG2571" s="1" t="s">
        <v>5261</v>
      </c>
      <c r="AH2571" s="2">
        <v>44927</v>
      </c>
      <c r="AI2571" s="2">
        <v>45291</v>
      </c>
      <c r="AJ2571" s="2">
        <v>44927</v>
      </c>
    </row>
    <row r="2572" spans="1:36">
      <c r="A2572" s="1" t="str">
        <f>"Z993B43592"</f>
        <v>Z993B43592</v>
      </c>
      <c r="B2572" s="1" t="str">
        <f t="shared" si="62"/>
        <v>02406911202</v>
      </c>
      <c r="C2572" s="1" t="s">
        <v>13</v>
      </c>
      <c r="D2572" s="1" t="s">
        <v>1312</v>
      </c>
      <c r="E2572" s="1" t="s">
        <v>5262</v>
      </c>
      <c r="F2572" s="1" t="s">
        <v>49</v>
      </c>
      <c r="G2572" s="1" t="str">
        <f>"04327730018"</f>
        <v>04327730018</v>
      </c>
      <c r="I2572" s="1" t="s">
        <v>5263</v>
      </c>
      <c r="L2572" s="1" t="s">
        <v>44</v>
      </c>
      <c r="M2572" s="1" t="s">
        <v>1314</v>
      </c>
      <c r="AG2572" s="1" t="s">
        <v>5264</v>
      </c>
      <c r="AH2572" s="2">
        <v>45068</v>
      </c>
      <c r="AI2572" s="2">
        <v>46022</v>
      </c>
      <c r="AJ2572" s="2">
        <v>45068</v>
      </c>
    </row>
    <row r="2573" spans="1:36">
      <c r="A2573" s="1" t="str">
        <f>"Z133B437B1"</f>
        <v>Z133B437B1</v>
      </c>
      <c r="B2573" s="1" t="str">
        <f t="shared" si="62"/>
        <v>02406911202</v>
      </c>
      <c r="C2573" s="1" t="s">
        <v>13</v>
      </c>
      <c r="D2573" s="1" t="s">
        <v>1312</v>
      </c>
      <c r="E2573" s="1" t="s">
        <v>2277</v>
      </c>
      <c r="F2573" s="1" t="s">
        <v>49</v>
      </c>
      <c r="G2573" s="1" t="str">
        <f>"02501461202"</f>
        <v>02501461202</v>
      </c>
      <c r="I2573" s="1" t="s">
        <v>2278</v>
      </c>
      <c r="L2573" s="1" t="s">
        <v>44</v>
      </c>
      <c r="M2573" s="1" t="s">
        <v>1314</v>
      </c>
      <c r="AG2573" s="1" t="s">
        <v>5265</v>
      </c>
      <c r="AH2573" s="2">
        <v>45068</v>
      </c>
      <c r="AI2573" s="2">
        <v>46022</v>
      </c>
      <c r="AJ2573" s="2">
        <v>45068</v>
      </c>
    </row>
    <row r="2574" spans="1:36">
      <c r="A2574" s="1" t="str">
        <f>"ZAE3B2DA43"</f>
        <v>ZAE3B2DA43</v>
      </c>
      <c r="B2574" s="1" t="str">
        <f t="shared" si="62"/>
        <v>02406911202</v>
      </c>
      <c r="C2574" s="1" t="s">
        <v>13</v>
      </c>
      <c r="D2574" s="1" t="s">
        <v>205</v>
      </c>
      <c r="E2574" s="1" t="s">
        <v>5266</v>
      </c>
      <c r="F2574" s="1" t="s">
        <v>49</v>
      </c>
      <c r="G2574" s="1" t="str">
        <f>"01892151208"</f>
        <v>01892151208</v>
      </c>
      <c r="I2574" s="1" t="s">
        <v>5267</v>
      </c>
      <c r="L2574" s="1" t="s">
        <v>44</v>
      </c>
      <c r="M2574" s="1" t="s">
        <v>5268</v>
      </c>
      <c r="AG2574" s="1" t="s">
        <v>5269</v>
      </c>
      <c r="AH2574" s="2">
        <v>44927</v>
      </c>
      <c r="AI2574" s="2">
        <v>45291</v>
      </c>
      <c r="AJ2574" s="2">
        <v>44927</v>
      </c>
    </row>
    <row r="2575" spans="1:36">
      <c r="A2575" s="1" t="str">
        <f>"Z163B2EB24"</f>
        <v>Z163B2EB24</v>
      </c>
      <c r="B2575" s="1" t="str">
        <f t="shared" si="62"/>
        <v>02406911202</v>
      </c>
      <c r="C2575" s="1" t="s">
        <v>13</v>
      </c>
      <c r="D2575" s="1" t="s">
        <v>205</v>
      </c>
      <c r="E2575" s="1" t="s">
        <v>5270</v>
      </c>
      <c r="F2575" s="1" t="s">
        <v>49</v>
      </c>
      <c r="G2575" s="1" t="str">
        <f>"01545750299"</f>
        <v>01545750299</v>
      </c>
      <c r="I2575" s="1" t="s">
        <v>5271</v>
      </c>
      <c r="L2575" s="1" t="s">
        <v>44</v>
      </c>
      <c r="M2575" s="1" t="s">
        <v>5272</v>
      </c>
      <c r="AG2575" s="1" t="s">
        <v>5273</v>
      </c>
      <c r="AH2575" s="2">
        <v>44927</v>
      </c>
      <c r="AI2575" s="2">
        <v>45291</v>
      </c>
      <c r="AJ2575" s="2">
        <v>44927</v>
      </c>
    </row>
    <row r="2576" spans="1:36">
      <c r="A2576" s="1" t="str">
        <f>"Z423B34766"</f>
        <v>Z423B34766</v>
      </c>
      <c r="B2576" s="1" t="str">
        <f t="shared" si="62"/>
        <v>02406911202</v>
      </c>
      <c r="C2576" s="1" t="s">
        <v>13</v>
      </c>
      <c r="D2576" s="1" t="s">
        <v>205</v>
      </c>
      <c r="E2576" s="1" t="s">
        <v>5274</v>
      </c>
      <c r="F2576" s="1" t="s">
        <v>49</v>
      </c>
      <c r="G2576" s="1" t="str">
        <f>"03931531200"</f>
        <v>03931531200</v>
      </c>
      <c r="I2576" s="1" t="s">
        <v>5275</v>
      </c>
      <c r="L2576" s="1" t="s">
        <v>44</v>
      </c>
      <c r="M2576" s="1" t="s">
        <v>5276</v>
      </c>
      <c r="AG2576" s="1" t="s">
        <v>5277</v>
      </c>
      <c r="AH2576" s="2">
        <v>44927</v>
      </c>
      <c r="AI2576" s="2">
        <v>45291</v>
      </c>
      <c r="AJ2576" s="2">
        <v>44927</v>
      </c>
    </row>
    <row r="2577" spans="1:36">
      <c r="A2577" s="1" t="str">
        <f>"Z433B347AB"</f>
        <v>Z433B347AB</v>
      </c>
      <c r="B2577" s="1" t="str">
        <f t="shared" si="62"/>
        <v>02406911202</v>
      </c>
      <c r="C2577" s="1" t="s">
        <v>13</v>
      </c>
      <c r="D2577" s="1" t="s">
        <v>205</v>
      </c>
      <c r="E2577" s="1" t="s">
        <v>5278</v>
      </c>
      <c r="F2577" s="1" t="s">
        <v>49</v>
      </c>
      <c r="G2577" s="1" t="str">
        <f>"03933431201"</f>
        <v>03933431201</v>
      </c>
      <c r="I2577" s="1" t="s">
        <v>5279</v>
      </c>
      <c r="L2577" s="1" t="s">
        <v>44</v>
      </c>
      <c r="M2577" s="1" t="s">
        <v>5280</v>
      </c>
      <c r="AG2577" s="1" t="s">
        <v>5281</v>
      </c>
      <c r="AH2577" s="2">
        <v>44927</v>
      </c>
      <c r="AI2577" s="2">
        <v>45291</v>
      </c>
      <c r="AJ2577" s="2">
        <v>44927</v>
      </c>
    </row>
    <row r="2578" spans="1:36">
      <c r="A2578" s="1" t="str">
        <f>"ZDE3B34844"</f>
        <v>ZDE3B34844</v>
      </c>
      <c r="B2578" s="1" t="str">
        <f t="shared" si="62"/>
        <v>02406911202</v>
      </c>
      <c r="C2578" s="1" t="s">
        <v>13</v>
      </c>
      <c r="D2578" s="1" t="s">
        <v>205</v>
      </c>
      <c r="E2578" s="1" t="s">
        <v>5282</v>
      </c>
      <c r="F2578" s="1" t="s">
        <v>49</v>
      </c>
      <c r="G2578" s="1" t="str">
        <f>"03945841207"</f>
        <v>03945841207</v>
      </c>
      <c r="I2578" s="1" t="s">
        <v>5283</v>
      </c>
      <c r="L2578" s="1" t="s">
        <v>44</v>
      </c>
      <c r="M2578" s="1" t="s">
        <v>5284</v>
      </c>
      <c r="AG2578" s="1" t="s">
        <v>5285</v>
      </c>
      <c r="AH2578" s="2">
        <v>44927</v>
      </c>
      <c r="AI2578" s="2">
        <v>45291</v>
      </c>
      <c r="AJ2578" s="2">
        <v>44927</v>
      </c>
    </row>
    <row r="2579" spans="1:36">
      <c r="A2579" s="1" t="str">
        <f>"ZEE3B348A8"</f>
        <v>ZEE3B348A8</v>
      </c>
      <c r="B2579" s="1" t="str">
        <f t="shared" si="62"/>
        <v>02406911202</v>
      </c>
      <c r="C2579" s="1" t="s">
        <v>13</v>
      </c>
      <c r="D2579" s="1" t="s">
        <v>205</v>
      </c>
      <c r="E2579" s="1" t="s">
        <v>5286</v>
      </c>
      <c r="F2579" s="1" t="s">
        <v>49</v>
      </c>
      <c r="G2579" s="1" t="str">
        <f>"03925571204"</f>
        <v>03925571204</v>
      </c>
      <c r="I2579" s="1" t="s">
        <v>5287</v>
      </c>
      <c r="L2579" s="1" t="s">
        <v>44</v>
      </c>
      <c r="M2579" s="1" t="s">
        <v>5288</v>
      </c>
      <c r="AG2579" s="1" t="s">
        <v>5289</v>
      </c>
      <c r="AH2579" s="2">
        <v>44927</v>
      </c>
      <c r="AI2579" s="2">
        <v>45291</v>
      </c>
      <c r="AJ2579" s="2">
        <v>44927</v>
      </c>
    </row>
    <row r="2580" spans="1:36">
      <c r="A2580" s="1" t="str">
        <f>"ZC03B34901"</f>
        <v>ZC03B34901</v>
      </c>
      <c r="B2580" s="1" t="str">
        <f t="shared" si="62"/>
        <v>02406911202</v>
      </c>
      <c r="C2580" s="1" t="s">
        <v>13</v>
      </c>
      <c r="D2580" s="1" t="s">
        <v>205</v>
      </c>
      <c r="E2580" s="1" t="s">
        <v>5290</v>
      </c>
      <c r="F2580" s="1" t="s">
        <v>49</v>
      </c>
      <c r="G2580" s="1" t="str">
        <f>"03964221208"</f>
        <v>03964221208</v>
      </c>
      <c r="I2580" s="1" t="s">
        <v>5291</v>
      </c>
      <c r="L2580" s="1" t="s">
        <v>44</v>
      </c>
      <c r="M2580" s="1" t="s">
        <v>5292</v>
      </c>
      <c r="AG2580" s="1" t="s">
        <v>5293</v>
      </c>
      <c r="AH2580" s="2">
        <v>44927</v>
      </c>
      <c r="AI2580" s="2">
        <v>45291</v>
      </c>
      <c r="AJ2580" s="2">
        <v>44927</v>
      </c>
    </row>
    <row r="2581" spans="1:36">
      <c r="A2581" s="1" t="str">
        <f>"Z503B34936"</f>
        <v>Z503B34936</v>
      </c>
      <c r="B2581" s="1" t="str">
        <f t="shared" si="62"/>
        <v>02406911202</v>
      </c>
      <c r="C2581" s="1" t="s">
        <v>13</v>
      </c>
      <c r="D2581" s="1" t="s">
        <v>205</v>
      </c>
      <c r="E2581" s="1" t="s">
        <v>5294</v>
      </c>
      <c r="F2581" s="1" t="s">
        <v>49</v>
      </c>
      <c r="G2581" s="1" t="str">
        <f>"03965391208"</f>
        <v>03965391208</v>
      </c>
      <c r="I2581" s="1" t="s">
        <v>5295</v>
      </c>
      <c r="L2581" s="1" t="s">
        <v>44</v>
      </c>
      <c r="M2581" s="1" t="s">
        <v>5296</v>
      </c>
      <c r="AG2581" s="1" t="s">
        <v>5297</v>
      </c>
      <c r="AH2581" s="2">
        <v>44927</v>
      </c>
      <c r="AI2581" s="2">
        <v>45291</v>
      </c>
      <c r="AJ2581" s="2">
        <v>44927</v>
      </c>
    </row>
    <row r="2582" spans="1:36">
      <c r="A2582" s="1" t="str">
        <f>"ZBE3B34972"</f>
        <v>ZBE3B34972</v>
      </c>
      <c r="B2582" s="1" t="str">
        <f t="shared" si="62"/>
        <v>02406911202</v>
      </c>
      <c r="C2582" s="1" t="s">
        <v>13</v>
      </c>
      <c r="D2582" s="1" t="s">
        <v>205</v>
      </c>
      <c r="E2582" s="1" t="s">
        <v>5298</v>
      </c>
      <c r="F2582" s="1" t="s">
        <v>49</v>
      </c>
      <c r="G2582" s="1" t="str">
        <f>"12091010962"</f>
        <v>12091010962</v>
      </c>
      <c r="I2582" s="1" t="s">
        <v>5299</v>
      </c>
      <c r="L2582" s="1" t="s">
        <v>44</v>
      </c>
      <c r="M2582" s="1" t="s">
        <v>5300</v>
      </c>
      <c r="AG2582" s="1" t="s">
        <v>124</v>
      </c>
      <c r="AH2582" s="2">
        <v>44927</v>
      </c>
      <c r="AI2582" s="2">
        <v>45291</v>
      </c>
      <c r="AJ2582" s="2">
        <v>44927</v>
      </c>
    </row>
    <row r="2583" spans="1:36">
      <c r="A2583" s="1" t="str">
        <f>"ZF23B34AB7"</f>
        <v>ZF23B34AB7</v>
      </c>
      <c r="B2583" s="1" t="str">
        <f t="shared" si="62"/>
        <v>02406911202</v>
      </c>
      <c r="C2583" s="1" t="s">
        <v>13</v>
      </c>
      <c r="D2583" s="1" t="s">
        <v>205</v>
      </c>
      <c r="E2583" s="1" t="s">
        <v>5301</v>
      </c>
      <c r="F2583" s="1" t="s">
        <v>49</v>
      </c>
      <c r="G2583" s="1" t="str">
        <f>"04006011201"</f>
        <v>04006011201</v>
      </c>
      <c r="I2583" s="1" t="s">
        <v>5302</v>
      </c>
      <c r="L2583" s="1" t="s">
        <v>44</v>
      </c>
      <c r="M2583" s="1" t="s">
        <v>5303</v>
      </c>
      <c r="AG2583" s="1" t="s">
        <v>5304</v>
      </c>
      <c r="AH2583" s="2">
        <v>44927</v>
      </c>
      <c r="AI2583" s="2">
        <v>45291</v>
      </c>
      <c r="AJ2583" s="2">
        <v>44927</v>
      </c>
    </row>
    <row r="2584" spans="1:36">
      <c r="A2584" s="1" t="str">
        <f>"Z863B34B05"</f>
        <v>Z863B34B05</v>
      </c>
      <c r="B2584" s="1" t="str">
        <f t="shared" si="62"/>
        <v>02406911202</v>
      </c>
      <c r="C2584" s="1" t="s">
        <v>13</v>
      </c>
      <c r="D2584" s="1" t="s">
        <v>205</v>
      </c>
      <c r="E2584" s="1" t="s">
        <v>5305</v>
      </c>
      <c r="F2584" s="1" t="s">
        <v>49</v>
      </c>
      <c r="G2584" s="1" t="str">
        <f>"04032591200"</f>
        <v>04032591200</v>
      </c>
      <c r="I2584" s="1" t="s">
        <v>5306</v>
      </c>
      <c r="L2584" s="1" t="s">
        <v>44</v>
      </c>
      <c r="M2584" s="1" t="s">
        <v>5307</v>
      </c>
      <c r="AG2584" s="1" t="s">
        <v>5308</v>
      </c>
      <c r="AH2584" s="2">
        <v>44927</v>
      </c>
      <c r="AI2584" s="2">
        <v>45291</v>
      </c>
      <c r="AJ2584" s="2">
        <v>44927</v>
      </c>
    </row>
    <row r="2585" spans="1:36">
      <c r="A2585" s="1" t="str">
        <f>"2023000989"</f>
        <v>2023000989</v>
      </c>
      <c r="B2585" s="1" t="str">
        <f t="shared" si="62"/>
        <v>02406911202</v>
      </c>
      <c r="C2585" s="1" t="s">
        <v>13</v>
      </c>
      <c r="D2585" s="1" t="s">
        <v>37</v>
      </c>
      <c r="E2585" s="1" t="s">
        <v>5309</v>
      </c>
      <c r="F2585" s="1" t="s">
        <v>4869</v>
      </c>
      <c r="G2585" s="1" t="str">
        <f>"02770891204"</f>
        <v>02770891204</v>
      </c>
      <c r="I2585" s="1" t="s">
        <v>4870</v>
      </c>
      <c r="L2585" s="1" t="s">
        <v>44</v>
      </c>
      <c r="M2585" s="1" t="s">
        <v>5310</v>
      </c>
      <c r="AG2585" s="1" t="s">
        <v>124</v>
      </c>
      <c r="AH2585" s="2">
        <v>44927</v>
      </c>
      <c r="AI2585" s="2">
        <v>45291</v>
      </c>
      <c r="AJ2585" s="2">
        <v>44927</v>
      </c>
    </row>
    <row r="2586" spans="1:36">
      <c r="A2586" s="1" t="str">
        <f>"97925224CB"</f>
        <v>97925224CB</v>
      </c>
      <c r="B2586" s="1" t="str">
        <f t="shared" si="62"/>
        <v>02406911202</v>
      </c>
      <c r="C2586" s="1" t="s">
        <v>13</v>
      </c>
      <c r="D2586" s="1" t="s">
        <v>37</v>
      </c>
      <c r="E2586" s="1" t="s">
        <v>4171</v>
      </c>
      <c r="F2586" s="1" t="s">
        <v>117</v>
      </c>
      <c r="G2586" s="1" t="str">
        <f>"02654900022"</f>
        <v>02654900022</v>
      </c>
      <c r="I2586" s="1" t="s">
        <v>531</v>
      </c>
      <c r="L2586" s="1" t="s">
        <v>44</v>
      </c>
      <c r="M2586" s="1" t="s">
        <v>533</v>
      </c>
      <c r="AG2586" s="1" t="s">
        <v>5311</v>
      </c>
      <c r="AH2586" s="2">
        <v>45043</v>
      </c>
      <c r="AI2586" s="2">
        <v>45046</v>
      </c>
      <c r="AJ2586" s="2">
        <v>45043</v>
      </c>
    </row>
    <row r="2587" spans="1:36">
      <c r="A2587" s="1" t="str">
        <f>"9787816946"</f>
        <v>9787816946</v>
      </c>
      <c r="B2587" s="1" t="str">
        <f t="shared" si="62"/>
        <v>02406911202</v>
      </c>
      <c r="C2587" s="1" t="s">
        <v>13</v>
      </c>
      <c r="D2587" s="1" t="s">
        <v>37</v>
      </c>
      <c r="E2587" s="1" t="s">
        <v>5033</v>
      </c>
      <c r="F2587" s="1" t="s">
        <v>39</v>
      </c>
      <c r="G2587" s="1" t="str">
        <f>"08082461008"</f>
        <v>08082461008</v>
      </c>
      <c r="I2587" s="1" t="s">
        <v>423</v>
      </c>
      <c r="L2587" s="1" t="s">
        <v>44</v>
      </c>
      <c r="M2587" s="1" t="s">
        <v>756</v>
      </c>
      <c r="AG2587" s="1" t="s">
        <v>5312</v>
      </c>
      <c r="AH2587" s="2">
        <v>45047</v>
      </c>
      <c r="AI2587" s="2">
        <v>45229</v>
      </c>
      <c r="AJ2587" s="2">
        <v>45047</v>
      </c>
    </row>
    <row r="2588" spans="1:36">
      <c r="A2588" s="1" t="str">
        <f>"9787840D13"</f>
        <v>9787840D13</v>
      </c>
      <c r="B2588" s="1" t="str">
        <f t="shared" si="62"/>
        <v>02406911202</v>
      </c>
      <c r="C2588" s="1" t="s">
        <v>13</v>
      </c>
      <c r="D2588" s="1" t="s">
        <v>37</v>
      </c>
      <c r="E2588" s="1" t="s">
        <v>5033</v>
      </c>
      <c r="F2588" s="1" t="s">
        <v>39</v>
      </c>
      <c r="G2588" s="1" t="str">
        <f>"03091530216"</f>
        <v>03091530216</v>
      </c>
      <c r="I2588" s="1" t="s">
        <v>1601</v>
      </c>
      <c r="L2588" s="1" t="s">
        <v>44</v>
      </c>
      <c r="M2588" s="1" t="s">
        <v>638</v>
      </c>
      <c r="AG2588" s="1" t="s">
        <v>5313</v>
      </c>
      <c r="AH2588" s="2">
        <v>45047</v>
      </c>
      <c r="AI2588" s="2">
        <v>45229</v>
      </c>
      <c r="AJ2588" s="2">
        <v>45047</v>
      </c>
    </row>
    <row r="2589" spans="1:36">
      <c r="A2589" s="1" t="str">
        <f>"Z323AE36D4"</f>
        <v>Z323AE36D4</v>
      </c>
      <c r="B2589" s="1" t="str">
        <f t="shared" si="62"/>
        <v>02406911202</v>
      </c>
      <c r="C2589" s="1" t="s">
        <v>13</v>
      </c>
      <c r="D2589" s="1" t="s">
        <v>37</v>
      </c>
      <c r="E2589" s="1" t="s">
        <v>5033</v>
      </c>
      <c r="F2589" s="1" t="s">
        <v>39</v>
      </c>
      <c r="G2589" s="1" t="str">
        <f>"01354901215"</f>
        <v>01354901215</v>
      </c>
      <c r="I2589" s="1" t="s">
        <v>5314</v>
      </c>
      <c r="L2589" s="1" t="s">
        <v>44</v>
      </c>
      <c r="M2589" s="1" t="s">
        <v>211</v>
      </c>
      <c r="AG2589" s="1" t="s">
        <v>5315</v>
      </c>
      <c r="AH2589" s="2">
        <v>45047</v>
      </c>
      <c r="AI2589" s="2">
        <v>45229</v>
      </c>
      <c r="AJ2589" s="2">
        <v>45047</v>
      </c>
    </row>
    <row r="2590" spans="1:36">
      <c r="A2590" s="1" t="str">
        <f>"976432718C"</f>
        <v>976432718C</v>
      </c>
      <c r="B2590" s="1" t="str">
        <f t="shared" si="62"/>
        <v>02406911202</v>
      </c>
      <c r="C2590" s="1" t="s">
        <v>13</v>
      </c>
      <c r="D2590" s="1" t="s">
        <v>37</v>
      </c>
      <c r="E2590" s="1" t="s">
        <v>5316</v>
      </c>
      <c r="F2590" s="1" t="s">
        <v>117</v>
      </c>
      <c r="G2590" s="1" t="str">
        <f>"01114601006"</f>
        <v>01114601006</v>
      </c>
      <c r="I2590" s="1" t="s">
        <v>1665</v>
      </c>
      <c r="L2590" s="1" t="s">
        <v>44</v>
      </c>
      <c r="M2590" s="1" t="s">
        <v>5317</v>
      </c>
      <c r="AG2590" s="1" t="s">
        <v>124</v>
      </c>
      <c r="AH2590" s="2">
        <v>45028</v>
      </c>
      <c r="AI2590" s="2">
        <v>46307</v>
      </c>
      <c r="AJ2590" s="2">
        <v>45028</v>
      </c>
    </row>
    <row r="2591" spans="1:36">
      <c r="A2591" s="1" t="str">
        <f>"9790505450"</f>
        <v>9790505450</v>
      </c>
      <c r="B2591" s="1" t="str">
        <f t="shared" si="62"/>
        <v>02406911202</v>
      </c>
      <c r="C2591" s="1" t="s">
        <v>13</v>
      </c>
      <c r="D2591" s="1" t="s">
        <v>1253</v>
      </c>
      <c r="E2591" s="1" t="s">
        <v>5318</v>
      </c>
      <c r="F2591" s="1" t="s">
        <v>49</v>
      </c>
      <c r="G2591" s="1" t="str">
        <f>"10220860158"</f>
        <v>10220860158</v>
      </c>
      <c r="I2591" s="1" t="s">
        <v>1375</v>
      </c>
      <c r="L2591" s="1" t="s">
        <v>44</v>
      </c>
      <c r="M2591" s="1" t="s">
        <v>2739</v>
      </c>
      <c r="AG2591" s="1" t="s">
        <v>5319</v>
      </c>
      <c r="AH2591" s="2">
        <v>45051</v>
      </c>
      <c r="AI2591" s="2">
        <v>45291</v>
      </c>
      <c r="AJ2591" s="2">
        <v>45051</v>
      </c>
    </row>
    <row r="2592" spans="1:36">
      <c r="A2592" s="1" t="str">
        <f>"ZE43B0CE8A"</f>
        <v>ZE43B0CE8A</v>
      </c>
      <c r="B2592" s="1" t="str">
        <f t="shared" si="62"/>
        <v>02406911202</v>
      </c>
      <c r="C2592" s="1" t="s">
        <v>13</v>
      </c>
      <c r="D2592" s="1" t="s">
        <v>1312</v>
      </c>
      <c r="E2592" s="1" t="s">
        <v>5320</v>
      </c>
      <c r="F2592" s="1" t="s">
        <v>49</v>
      </c>
      <c r="G2592" s="1" t="str">
        <f>"04270270400"</f>
        <v>04270270400</v>
      </c>
      <c r="I2592" s="1" t="s">
        <v>5321</v>
      </c>
      <c r="L2592" s="1" t="s">
        <v>44</v>
      </c>
      <c r="M2592" s="1" t="s">
        <v>1314</v>
      </c>
      <c r="AG2592" s="1" t="s">
        <v>5322</v>
      </c>
      <c r="AH2592" s="2">
        <v>45047</v>
      </c>
      <c r="AI2592" s="2">
        <v>45077</v>
      </c>
      <c r="AJ2592" s="2">
        <v>45047</v>
      </c>
    </row>
    <row r="2593" spans="1:36">
      <c r="A2593" s="1" t="str">
        <f>"Z583B15368"</f>
        <v>Z583B15368</v>
      </c>
      <c r="B2593" s="1" t="str">
        <f t="shared" si="62"/>
        <v>02406911202</v>
      </c>
      <c r="C2593" s="1" t="s">
        <v>13</v>
      </c>
      <c r="D2593" s="1" t="s">
        <v>1253</v>
      </c>
      <c r="E2593" s="1" t="s">
        <v>1262</v>
      </c>
      <c r="F2593" s="1" t="s">
        <v>49</v>
      </c>
      <c r="G2593" s="1" t="str">
        <f>"01286700487"</f>
        <v>01286700487</v>
      </c>
      <c r="I2593" s="1" t="s">
        <v>1572</v>
      </c>
      <c r="L2593" s="1" t="s">
        <v>44</v>
      </c>
      <c r="M2593" s="1" t="s">
        <v>1255</v>
      </c>
      <c r="AG2593" s="1" t="s">
        <v>5323</v>
      </c>
      <c r="AH2593" s="2">
        <v>45056</v>
      </c>
      <c r="AI2593" s="2">
        <v>45291</v>
      </c>
      <c r="AJ2593" s="2">
        <v>45056</v>
      </c>
    </row>
    <row r="2594" spans="1:36">
      <c r="A2594" s="1" t="str">
        <f>"Z743B167B3"</f>
        <v>Z743B167B3</v>
      </c>
      <c r="B2594" s="1" t="str">
        <f t="shared" si="62"/>
        <v>02406911202</v>
      </c>
      <c r="C2594" s="1" t="s">
        <v>13</v>
      </c>
      <c r="D2594" s="1" t="s">
        <v>1253</v>
      </c>
      <c r="E2594" s="1" t="s">
        <v>5324</v>
      </c>
      <c r="F2594" s="1" t="s">
        <v>49</v>
      </c>
      <c r="G2594" s="1" t="str">
        <f>"02689300123"</f>
        <v>02689300123</v>
      </c>
      <c r="I2594" s="1" t="s">
        <v>2055</v>
      </c>
      <c r="L2594" s="1" t="s">
        <v>44</v>
      </c>
      <c r="M2594" s="1" t="s">
        <v>1255</v>
      </c>
      <c r="AG2594" s="1" t="s">
        <v>5325</v>
      </c>
      <c r="AH2594" s="2">
        <v>45056</v>
      </c>
      <c r="AI2594" s="2">
        <v>45291</v>
      </c>
      <c r="AJ2594" s="2">
        <v>45056</v>
      </c>
    </row>
    <row r="2595" spans="1:36">
      <c r="A2595" s="1" t="str">
        <f>"Z4D3B16FD1"</f>
        <v>Z4D3B16FD1</v>
      </c>
      <c r="B2595" s="1" t="str">
        <f t="shared" si="62"/>
        <v>02406911202</v>
      </c>
      <c r="C2595" s="1" t="s">
        <v>13</v>
      </c>
      <c r="D2595" s="1" t="s">
        <v>1312</v>
      </c>
      <c r="E2595" s="1" t="s">
        <v>5326</v>
      </c>
      <c r="F2595" s="1" t="s">
        <v>49</v>
      </c>
      <c r="G2595" s="1" t="str">
        <f>"10217990158"</f>
        <v>10217990158</v>
      </c>
      <c r="I2595" s="1" t="s">
        <v>5327</v>
      </c>
      <c r="L2595" s="1" t="s">
        <v>44</v>
      </c>
      <c r="M2595" s="1" t="s">
        <v>1314</v>
      </c>
      <c r="AG2595" s="1" t="s">
        <v>5328</v>
      </c>
      <c r="AH2595" s="2">
        <v>45056</v>
      </c>
      <c r="AI2595" s="2">
        <v>46022</v>
      </c>
      <c r="AJ2595" s="2">
        <v>45056</v>
      </c>
    </row>
    <row r="2596" spans="1:36">
      <c r="A2596" s="1" t="str">
        <f>"Z7A3B17129"</f>
        <v>Z7A3B17129</v>
      </c>
      <c r="B2596" s="1" t="str">
        <f t="shared" si="62"/>
        <v>02406911202</v>
      </c>
      <c r="C2596" s="1" t="s">
        <v>13</v>
      </c>
      <c r="D2596" s="1" t="s">
        <v>1257</v>
      </c>
      <c r="E2596" s="1" t="s">
        <v>5329</v>
      </c>
      <c r="F2596" s="1" t="s">
        <v>49</v>
      </c>
      <c r="G2596" s="1" t="str">
        <f>"00856750153"</f>
        <v>00856750153</v>
      </c>
      <c r="I2596" s="1" t="s">
        <v>40</v>
      </c>
      <c r="L2596" s="1" t="s">
        <v>44</v>
      </c>
      <c r="M2596" s="1" t="s">
        <v>2400</v>
      </c>
      <c r="AG2596" s="1" t="s">
        <v>5330</v>
      </c>
      <c r="AH2596" s="2">
        <v>45056</v>
      </c>
      <c r="AI2596" s="2">
        <v>45291</v>
      </c>
      <c r="AJ2596" s="2">
        <v>45056</v>
      </c>
    </row>
    <row r="2597" spans="1:36">
      <c r="A2597" s="1" t="str">
        <f>"982250076B"</f>
        <v>982250076B</v>
      </c>
      <c r="B2597" s="1" t="str">
        <f t="shared" si="62"/>
        <v>02406911202</v>
      </c>
      <c r="C2597" s="1" t="s">
        <v>13</v>
      </c>
      <c r="D2597" s="1" t="s">
        <v>205</v>
      </c>
      <c r="E2597" s="1" t="s">
        <v>5331</v>
      </c>
      <c r="F2597" s="1" t="s">
        <v>39</v>
      </c>
      <c r="G2597" s="1" t="str">
        <f>"03131021200"</f>
        <v>03131021200</v>
      </c>
      <c r="I2597" s="1" t="s">
        <v>2882</v>
      </c>
      <c r="L2597" s="1" t="s">
        <v>44</v>
      </c>
      <c r="M2597" s="1" t="s">
        <v>4848</v>
      </c>
      <c r="AG2597" s="1" t="s">
        <v>5332</v>
      </c>
      <c r="AH2597" s="2">
        <v>44927</v>
      </c>
      <c r="AI2597" s="2">
        <v>45291</v>
      </c>
      <c r="AJ2597" s="2">
        <v>44927</v>
      </c>
    </row>
    <row r="2598" spans="1:36">
      <c r="A2598" s="1" t="str">
        <f>"9821836379"</f>
        <v>9821836379</v>
      </c>
      <c r="B2598" s="1" t="str">
        <f t="shared" si="62"/>
        <v>02406911202</v>
      </c>
      <c r="C2598" s="1" t="s">
        <v>13</v>
      </c>
      <c r="D2598" s="1" t="s">
        <v>205</v>
      </c>
      <c r="E2598" s="1" t="s">
        <v>5333</v>
      </c>
      <c r="F2598" s="1" t="s">
        <v>39</v>
      </c>
      <c r="G2598" s="1" t="str">
        <f>"03131021200"</f>
        <v>03131021200</v>
      </c>
      <c r="I2598" s="1" t="s">
        <v>2882</v>
      </c>
      <c r="L2598" s="1" t="s">
        <v>44</v>
      </c>
      <c r="M2598" s="1" t="s">
        <v>5334</v>
      </c>
      <c r="AG2598" s="1" t="s">
        <v>5335</v>
      </c>
      <c r="AH2598" s="2">
        <v>44927</v>
      </c>
      <c r="AI2598" s="2">
        <v>45291</v>
      </c>
      <c r="AJ2598" s="2">
        <v>44927</v>
      </c>
    </row>
    <row r="2599" spans="1:36">
      <c r="A2599" s="1" t="str">
        <f>"Z8A3B230BE"</f>
        <v>Z8A3B230BE</v>
      </c>
      <c r="B2599" s="1" t="str">
        <f t="shared" si="62"/>
        <v>02406911202</v>
      </c>
      <c r="C2599" s="1" t="s">
        <v>13</v>
      </c>
      <c r="D2599" s="1" t="s">
        <v>205</v>
      </c>
      <c r="E2599" s="1" t="s">
        <v>5336</v>
      </c>
      <c r="F2599" s="1" t="s">
        <v>49</v>
      </c>
      <c r="G2599" s="1" t="str">
        <f>"02370870368"</f>
        <v>02370870368</v>
      </c>
      <c r="I2599" s="1" t="s">
        <v>5337</v>
      </c>
      <c r="L2599" s="1" t="s">
        <v>44</v>
      </c>
      <c r="M2599" s="1" t="s">
        <v>5338</v>
      </c>
      <c r="AG2599" s="1" t="s">
        <v>5339</v>
      </c>
      <c r="AH2599" s="2">
        <v>44927</v>
      </c>
      <c r="AI2599" s="2">
        <v>45291</v>
      </c>
      <c r="AJ2599" s="2">
        <v>44927</v>
      </c>
    </row>
    <row r="2600" spans="1:36">
      <c r="A2600" s="1" t="str">
        <f>"9802947FC3"</f>
        <v>9802947FC3</v>
      </c>
      <c r="B2600" s="1" t="str">
        <f t="shared" si="62"/>
        <v>02406911202</v>
      </c>
      <c r="C2600" s="1" t="s">
        <v>13</v>
      </c>
      <c r="D2600" s="1" t="s">
        <v>1253</v>
      </c>
      <c r="E2600" s="1" t="s">
        <v>1317</v>
      </c>
      <c r="F2600" s="1" t="s">
        <v>49</v>
      </c>
      <c r="G2600" s="1" t="str">
        <f>"05908740961"</f>
        <v>05908740961</v>
      </c>
      <c r="I2600" s="1" t="s">
        <v>603</v>
      </c>
      <c r="L2600" s="1" t="s">
        <v>44</v>
      </c>
      <c r="M2600" s="1" t="s">
        <v>5340</v>
      </c>
      <c r="AG2600" s="1" t="s">
        <v>5341</v>
      </c>
      <c r="AH2600" s="2">
        <v>45062</v>
      </c>
      <c r="AI2600" s="2">
        <v>45428</v>
      </c>
      <c r="AJ2600" s="2">
        <v>45062</v>
      </c>
    </row>
    <row r="2601" spans="1:36">
      <c r="A2601" s="1" t="str">
        <f>"ZD33B1F405"</f>
        <v>ZD33B1F405</v>
      </c>
      <c r="B2601" s="1" t="str">
        <f t="shared" si="62"/>
        <v>02406911202</v>
      </c>
      <c r="C2601" s="1" t="s">
        <v>13</v>
      </c>
      <c r="D2601" s="1" t="s">
        <v>205</v>
      </c>
      <c r="E2601" s="1" t="s">
        <v>5342</v>
      </c>
      <c r="F2601" s="1" t="s">
        <v>49</v>
      </c>
      <c r="G2601" s="1" t="str">
        <f>"02440371207"</f>
        <v>02440371207</v>
      </c>
      <c r="I2601" s="1" t="s">
        <v>5343</v>
      </c>
      <c r="L2601" s="1" t="s">
        <v>44</v>
      </c>
      <c r="M2601" s="1" t="s">
        <v>1744</v>
      </c>
      <c r="AG2601" s="1" t="s">
        <v>124</v>
      </c>
      <c r="AH2601" s="2">
        <v>44986</v>
      </c>
      <c r="AI2601" s="2">
        <v>45291</v>
      </c>
      <c r="AJ2601" s="2">
        <v>44986</v>
      </c>
    </row>
    <row r="2602" spans="1:36">
      <c r="A2602" s="1" t="str">
        <f>"Z453B1F206"</f>
        <v>Z453B1F206</v>
      </c>
      <c r="B2602" s="1" t="str">
        <f t="shared" si="62"/>
        <v>02406911202</v>
      </c>
      <c r="C2602" s="1" t="s">
        <v>13</v>
      </c>
      <c r="D2602" s="1" t="s">
        <v>1253</v>
      </c>
      <c r="E2602" s="1" t="s">
        <v>1317</v>
      </c>
      <c r="F2602" s="1" t="s">
        <v>49</v>
      </c>
      <c r="G2602" s="1" t="str">
        <f>"02154270595"</f>
        <v>02154270595</v>
      </c>
      <c r="I2602" s="1" t="s">
        <v>928</v>
      </c>
      <c r="L2602" s="1" t="s">
        <v>44</v>
      </c>
      <c r="M2602" s="1" t="s">
        <v>1255</v>
      </c>
      <c r="AG2602" s="1" t="s">
        <v>5344</v>
      </c>
      <c r="AH2602" s="2">
        <v>45057</v>
      </c>
      <c r="AI2602" s="2">
        <v>45291</v>
      </c>
      <c r="AJ2602" s="2">
        <v>45057</v>
      </c>
    </row>
    <row r="2603" spans="1:36">
      <c r="A2603" s="1" t="str">
        <f>"Z4F3B1F1C7"</f>
        <v>Z4F3B1F1C7</v>
      </c>
      <c r="B2603" s="1" t="str">
        <f t="shared" si="62"/>
        <v>02406911202</v>
      </c>
      <c r="C2603" s="1" t="s">
        <v>13</v>
      </c>
      <c r="D2603" s="1" t="s">
        <v>1253</v>
      </c>
      <c r="E2603" s="1" t="s">
        <v>1317</v>
      </c>
      <c r="F2603" s="1" t="s">
        <v>49</v>
      </c>
      <c r="G2603" s="1" t="str">
        <f>"02790240101"</f>
        <v>02790240101</v>
      </c>
      <c r="I2603" s="1" t="s">
        <v>275</v>
      </c>
      <c r="L2603" s="1" t="s">
        <v>44</v>
      </c>
      <c r="M2603" s="1" t="s">
        <v>1255</v>
      </c>
      <c r="AG2603" s="1" t="s">
        <v>5345</v>
      </c>
      <c r="AH2603" s="2">
        <v>45057</v>
      </c>
      <c r="AI2603" s="2">
        <v>45291</v>
      </c>
      <c r="AJ2603" s="2">
        <v>45057</v>
      </c>
    </row>
    <row r="2604" spans="1:36">
      <c r="A2604" s="1" t="str">
        <f>"9820106FD1"</f>
        <v>9820106FD1</v>
      </c>
      <c r="B2604" s="1" t="str">
        <f t="shared" si="62"/>
        <v>02406911202</v>
      </c>
      <c r="C2604" s="1" t="s">
        <v>13</v>
      </c>
      <c r="D2604" s="1" t="s">
        <v>37</v>
      </c>
      <c r="E2604" s="1" t="s">
        <v>5346</v>
      </c>
      <c r="F2604" s="1" t="s">
        <v>99</v>
      </c>
      <c r="G2604" s="1" t="str">
        <f>"00136740404"</f>
        <v>00136740404</v>
      </c>
      <c r="I2604" s="1" t="s">
        <v>439</v>
      </c>
      <c r="L2604" s="1" t="s">
        <v>44</v>
      </c>
      <c r="M2604" s="1" t="s">
        <v>5347</v>
      </c>
      <c r="AG2604" s="1" t="s">
        <v>5348</v>
      </c>
      <c r="AH2604" s="2">
        <v>45070</v>
      </c>
      <c r="AI2604" s="2">
        <v>45222</v>
      </c>
      <c r="AJ2604" s="2">
        <v>45070</v>
      </c>
    </row>
    <row r="2605" spans="1:36">
      <c r="A2605" s="1" t="str">
        <f>"Z893ADAE76"</f>
        <v>Z893ADAE76</v>
      </c>
      <c r="B2605" s="1" t="str">
        <f t="shared" si="62"/>
        <v>02406911202</v>
      </c>
      <c r="C2605" s="1" t="s">
        <v>13</v>
      </c>
      <c r="D2605" s="1" t="s">
        <v>1253</v>
      </c>
      <c r="E2605" s="1" t="s">
        <v>1260</v>
      </c>
      <c r="F2605" s="1" t="s">
        <v>49</v>
      </c>
      <c r="G2605" s="1" t="str">
        <f>"01799221005"</f>
        <v>01799221005</v>
      </c>
      <c r="I2605" s="1" t="s">
        <v>2875</v>
      </c>
      <c r="L2605" s="1" t="s">
        <v>44</v>
      </c>
      <c r="M2605" s="1" t="s">
        <v>1255</v>
      </c>
      <c r="AG2605" s="1" t="s">
        <v>124</v>
      </c>
      <c r="AH2605" s="2">
        <v>45036</v>
      </c>
      <c r="AI2605" s="2">
        <v>45291</v>
      </c>
      <c r="AJ2605" s="2">
        <v>45036</v>
      </c>
    </row>
    <row r="2606" spans="1:36">
      <c r="A2606" s="1" t="str">
        <f>"Z113B3A9F7"</f>
        <v>Z113B3A9F7</v>
      </c>
      <c r="B2606" s="1" t="str">
        <f t="shared" si="62"/>
        <v>02406911202</v>
      </c>
      <c r="C2606" s="1" t="s">
        <v>13</v>
      </c>
      <c r="D2606" s="1" t="s">
        <v>1253</v>
      </c>
      <c r="E2606" s="1" t="s">
        <v>1270</v>
      </c>
      <c r="F2606" s="1" t="s">
        <v>49</v>
      </c>
      <c r="H2606" s="1" t="str">
        <f>"823865599B01"</f>
        <v>823865599B01</v>
      </c>
      <c r="I2606" s="1" t="s">
        <v>2902</v>
      </c>
      <c r="L2606" s="1" t="s">
        <v>44</v>
      </c>
      <c r="M2606" s="1" t="s">
        <v>153</v>
      </c>
      <c r="AG2606" s="1" t="s">
        <v>5349</v>
      </c>
      <c r="AH2606" s="2">
        <v>45065</v>
      </c>
      <c r="AI2606" s="2">
        <v>45291</v>
      </c>
      <c r="AJ2606" s="2">
        <v>45065</v>
      </c>
    </row>
    <row r="2607" spans="1:36">
      <c r="A2607" s="1" t="str">
        <f>"Z023B3B0B5"</f>
        <v>Z023B3B0B5</v>
      </c>
      <c r="B2607" s="1" t="str">
        <f t="shared" si="62"/>
        <v>02406911202</v>
      </c>
      <c r="C2607" s="1" t="s">
        <v>13</v>
      </c>
      <c r="D2607" s="1" t="s">
        <v>1253</v>
      </c>
      <c r="E2607" s="1" t="s">
        <v>1270</v>
      </c>
      <c r="F2607" s="1" t="s">
        <v>49</v>
      </c>
      <c r="G2607" s="1" t="str">
        <f>"13522771008"</f>
        <v>13522771008</v>
      </c>
      <c r="I2607" s="1" t="s">
        <v>271</v>
      </c>
      <c r="L2607" s="1" t="s">
        <v>44</v>
      </c>
      <c r="M2607" s="1" t="s">
        <v>1255</v>
      </c>
      <c r="AG2607" s="1" t="s">
        <v>124</v>
      </c>
      <c r="AH2607" s="2">
        <v>45065</v>
      </c>
      <c r="AI2607" s="2">
        <v>45291</v>
      </c>
      <c r="AJ2607" s="2">
        <v>45065</v>
      </c>
    </row>
    <row r="2608" spans="1:36">
      <c r="A2608" s="1" t="str">
        <f>"Z0A3B3B1E2"</f>
        <v>Z0A3B3B1E2</v>
      </c>
      <c r="B2608" s="1" t="str">
        <f t="shared" si="62"/>
        <v>02406911202</v>
      </c>
      <c r="C2608" s="1" t="s">
        <v>13</v>
      </c>
      <c r="D2608" s="1" t="s">
        <v>1253</v>
      </c>
      <c r="E2608" s="1" t="s">
        <v>1270</v>
      </c>
      <c r="F2608" s="1" t="s">
        <v>49</v>
      </c>
      <c r="G2608" s="1" t="str">
        <f>"13522771008"</f>
        <v>13522771008</v>
      </c>
      <c r="I2608" s="1" t="s">
        <v>271</v>
      </c>
      <c r="L2608" s="1" t="s">
        <v>44</v>
      </c>
      <c r="M2608" s="1" t="s">
        <v>1255</v>
      </c>
      <c r="AG2608" s="1" t="s">
        <v>124</v>
      </c>
      <c r="AH2608" s="2">
        <v>45065</v>
      </c>
      <c r="AI2608" s="2">
        <v>45291</v>
      </c>
      <c r="AJ2608" s="2">
        <v>45065</v>
      </c>
    </row>
    <row r="2609" spans="1:36">
      <c r="A2609" s="1" t="str">
        <f>"Z683B25D81"</f>
        <v>Z683B25D81</v>
      </c>
      <c r="B2609" s="1" t="str">
        <f t="shared" si="62"/>
        <v>02406911202</v>
      </c>
      <c r="C2609" s="1" t="s">
        <v>13</v>
      </c>
      <c r="D2609" s="1" t="s">
        <v>1312</v>
      </c>
      <c r="E2609" s="1" t="s">
        <v>2509</v>
      </c>
      <c r="F2609" s="1" t="s">
        <v>49</v>
      </c>
      <c r="G2609" s="1" t="str">
        <f>"02298321205"</f>
        <v>02298321205</v>
      </c>
      <c r="I2609" s="1" t="s">
        <v>5350</v>
      </c>
      <c r="L2609" s="1" t="s">
        <v>44</v>
      </c>
      <c r="M2609" s="1" t="s">
        <v>933</v>
      </c>
      <c r="AG2609" s="1" t="s">
        <v>933</v>
      </c>
      <c r="AH2609" s="2">
        <v>44958</v>
      </c>
      <c r="AI2609" s="2">
        <v>45065</v>
      </c>
      <c r="AJ2609" s="2">
        <v>44958</v>
      </c>
    </row>
    <row r="2610" spans="1:36">
      <c r="A2610" s="1" t="str">
        <f>"Z3E3B3C5C8"</f>
        <v>Z3E3B3C5C8</v>
      </c>
      <c r="B2610" s="1" t="str">
        <f t="shared" si="62"/>
        <v>02406911202</v>
      </c>
      <c r="C2610" s="1" t="s">
        <v>13</v>
      </c>
      <c r="D2610" s="1" t="s">
        <v>1253</v>
      </c>
      <c r="E2610" s="1" t="s">
        <v>1254</v>
      </c>
      <c r="F2610" s="1" t="s">
        <v>49</v>
      </c>
      <c r="G2610" s="1" t="str">
        <f>"01128170220"</f>
        <v>01128170220</v>
      </c>
      <c r="I2610" s="1" t="s">
        <v>2738</v>
      </c>
      <c r="L2610" s="1" t="s">
        <v>44</v>
      </c>
      <c r="M2610" s="1" t="s">
        <v>1255</v>
      </c>
      <c r="AG2610" s="1" t="s">
        <v>5351</v>
      </c>
      <c r="AH2610" s="2">
        <v>45065</v>
      </c>
      <c r="AI2610" s="2">
        <v>45065</v>
      </c>
      <c r="AJ2610" s="2">
        <v>45065</v>
      </c>
    </row>
    <row r="2611" spans="1:36">
      <c r="A2611" s="1" t="str">
        <f>"Z743ACADCD"</f>
        <v>Z743ACADCD</v>
      </c>
      <c r="B2611" s="1" t="str">
        <f t="shared" si="62"/>
        <v>02406911202</v>
      </c>
      <c r="C2611" s="1" t="s">
        <v>13</v>
      </c>
      <c r="D2611" s="1" t="s">
        <v>1253</v>
      </c>
      <c r="E2611" s="1" t="s">
        <v>1260</v>
      </c>
      <c r="F2611" s="1" t="s">
        <v>49</v>
      </c>
      <c r="G2611" s="1" t="str">
        <f>"11408800966"</f>
        <v>11408800966</v>
      </c>
      <c r="I2611" s="1" t="s">
        <v>1930</v>
      </c>
      <c r="L2611" s="1" t="s">
        <v>44</v>
      </c>
      <c r="M2611" s="1" t="s">
        <v>1255</v>
      </c>
      <c r="AG2611" s="1" t="s">
        <v>1931</v>
      </c>
      <c r="AH2611" s="2">
        <v>45030</v>
      </c>
      <c r="AI2611" s="2">
        <v>45291</v>
      </c>
      <c r="AJ2611" s="2">
        <v>45030</v>
      </c>
    </row>
    <row r="2612" spans="1:36">
      <c r="A2612" s="1" t="str">
        <f>"9763466B04"</f>
        <v>9763466B04</v>
      </c>
      <c r="B2612" s="1" t="str">
        <f t="shared" si="62"/>
        <v>02406911202</v>
      </c>
      <c r="C2612" s="1" t="s">
        <v>13</v>
      </c>
      <c r="D2612" s="1" t="s">
        <v>1312</v>
      </c>
      <c r="E2612" s="1" t="s">
        <v>5352</v>
      </c>
      <c r="F2612" s="1" t="s">
        <v>49</v>
      </c>
      <c r="G2612" s="1" t="str">
        <f>"07620470018"</f>
        <v>07620470018</v>
      </c>
      <c r="I2612" s="1" t="s">
        <v>1465</v>
      </c>
      <c r="L2612" s="1" t="s">
        <v>44</v>
      </c>
      <c r="M2612" s="1" t="s">
        <v>509</v>
      </c>
      <c r="AG2612" s="1" t="s">
        <v>124</v>
      </c>
      <c r="AH2612" s="2">
        <v>45035</v>
      </c>
      <c r="AI2612" s="2">
        <v>45443</v>
      </c>
      <c r="AJ2612" s="2">
        <v>45035</v>
      </c>
    </row>
    <row r="2613" spans="1:36">
      <c r="A2613" s="1" t="str">
        <f>"ZDC3B18F7F"</f>
        <v>ZDC3B18F7F</v>
      </c>
      <c r="B2613" s="1" t="str">
        <f t="shared" si="62"/>
        <v>02406911202</v>
      </c>
      <c r="C2613" s="1" t="s">
        <v>13</v>
      </c>
      <c r="D2613" s="1" t="s">
        <v>1741</v>
      </c>
      <c r="E2613" s="1" t="s">
        <v>5353</v>
      </c>
      <c r="F2613" s="1" t="s">
        <v>49</v>
      </c>
      <c r="G2613" s="1" t="str">
        <f>"02376321200"</f>
        <v>02376321200</v>
      </c>
      <c r="I2613" s="1" t="s">
        <v>1884</v>
      </c>
      <c r="L2613" s="1" t="s">
        <v>44</v>
      </c>
      <c r="M2613" s="1" t="s">
        <v>5354</v>
      </c>
      <c r="AG2613" s="1" t="s">
        <v>5354</v>
      </c>
      <c r="AH2613" s="2">
        <v>45056</v>
      </c>
      <c r="AI2613" s="2">
        <v>45291</v>
      </c>
      <c r="AJ2613" s="2">
        <v>45056</v>
      </c>
    </row>
    <row r="2614" spans="1:36">
      <c r="A2614" s="1" t="str">
        <f>"9851067DA5"</f>
        <v>9851067DA5</v>
      </c>
      <c r="B2614" s="1" t="str">
        <f t="shared" si="62"/>
        <v>02406911202</v>
      </c>
      <c r="C2614" s="1" t="s">
        <v>13</v>
      </c>
      <c r="D2614" s="1" t="s">
        <v>37</v>
      </c>
      <c r="E2614" s="1" t="s">
        <v>5355</v>
      </c>
      <c r="F2614" s="1" t="s">
        <v>117</v>
      </c>
      <c r="G2614" s="1" t="str">
        <f>"01857820284"</f>
        <v>01857820284</v>
      </c>
      <c r="I2614" s="1" t="s">
        <v>674</v>
      </c>
      <c r="L2614" s="1" t="s">
        <v>44</v>
      </c>
      <c r="M2614" s="1" t="s">
        <v>5356</v>
      </c>
      <c r="AG2614" s="1" t="s">
        <v>5357</v>
      </c>
      <c r="AH2614" s="2">
        <v>45078</v>
      </c>
      <c r="AI2614" s="2">
        <v>45350</v>
      </c>
      <c r="AJ2614" s="2">
        <v>45078</v>
      </c>
    </row>
    <row r="2615" spans="1:36">
      <c r="A2615" s="1" t="str">
        <f>"Z363B1860D"</f>
        <v>Z363B1860D</v>
      </c>
      <c r="B2615" s="1" t="str">
        <f t="shared" si="62"/>
        <v>02406911202</v>
      </c>
      <c r="C2615" s="1" t="s">
        <v>13</v>
      </c>
      <c r="D2615" s="1" t="s">
        <v>1312</v>
      </c>
      <c r="E2615" s="1" t="s">
        <v>5358</v>
      </c>
      <c r="F2615" s="1" t="s">
        <v>49</v>
      </c>
      <c r="G2615" s="1" t="str">
        <f>"03556360174"</f>
        <v>03556360174</v>
      </c>
      <c r="I2615" s="1" t="s">
        <v>5359</v>
      </c>
      <c r="L2615" s="1" t="s">
        <v>44</v>
      </c>
      <c r="M2615" s="1" t="s">
        <v>5360</v>
      </c>
      <c r="AG2615" s="1" t="s">
        <v>124</v>
      </c>
      <c r="AH2615" s="2">
        <v>45056</v>
      </c>
      <c r="AI2615" s="2">
        <v>45291</v>
      </c>
      <c r="AJ2615" s="2">
        <v>45056</v>
      </c>
    </row>
    <row r="2616" spans="1:36">
      <c r="A2616" s="1" t="str">
        <f>"Z633B18765"</f>
        <v>Z633B18765</v>
      </c>
      <c r="B2616" s="1" t="str">
        <f t="shared" si="62"/>
        <v>02406911202</v>
      </c>
      <c r="C2616" s="1" t="s">
        <v>13</v>
      </c>
      <c r="D2616" s="1" t="s">
        <v>205</v>
      </c>
      <c r="E2616" s="1" t="s">
        <v>5361</v>
      </c>
      <c r="F2616" s="1" t="s">
        <v>49</v>
      </c>
      <c r="G2616" s="1" t="str">
        <f>"03633040161"</f>
        <v>03633040161</v>
      </c>
      <c r="I2616" s="1" t="s">
        <v>5362</v>
      </c>
      <c r="L2616" s="1" t="s">
        <v>44</v>
      </c>
      <c r="M2616" s="1" t="s">
        <v>5363</v>
      </c>
      <c r="AG2616" s="1" t="s">
        <v>124</v>
      </c>
      <c r="AH2616" s="2">
        <v>45056</v>
      </c>
      <c r="AI2616" s="2">
        <v>45291</v>
      </c>
      <c r="AJ2616" s="2">
        <v>45056</v>
      </c>
    </row>
    <row r="2617" spans="1:36">
      <c r="A2617" s="1" t="str">
        <f>"9746355295"</f>
        <v>9746355295</v>
      </c>
      <c r="B2617" s="1" t="str">
        <f t="shared" si="62"/>
        <v>02406911202</v>
      </c>
      <c r="C2617" s="1" t="s">
        <v>13</v>
      </c>
      <c r="D2617" s="1" t="s">
        <v>37</v>
      </c>
      <c r="E2617" s="1" t="s">
        <v>5364</v>
      </c>
      <c r="F2617" s="1" t="s">
        <v>99</v>
      </c>
      <c r="G2617" s="1" t="str">
        <f>"03970540963"</f>
        <v>03970540963</v>
      </c>
      <c r="I2617" s="1" t="s">
        <v>5365</v>
      </c>
      <c r="L2617" s="1" t="s">
        <v>44</v>
      </c>
      <c r="M2617" s="1" t="s">
        <v>638</v>
      </c>
      <c r="AG2617" s="1" t="s">
        <v>124</v>
      </c>
      <c r="AH2617" s="2">
        <v>45034</v>
      </c>
      <c r="AI2617" s="2">
        <v>45765</v>
      </c>
      <c r="AJ2617" s="2">
        <v>45034</v>
      </c>
    </row>
    <row r="2618" spans="1:36">
      <c r="A2618" s="1" t="str">
        <f>"Z2F3B3B6F4"</f>
        <v>Z2F3B3B6F4</v>
      </c>
      <c r="B2618" s="1" t="str">
        <f t="shared" si="62"/>
        <v>02406911202</v>
      </c>
      <c r="C2618" s="1" t="s">
        <v>13</v>
      </c>
      <c r="D2618" s="1" t="s">
        <v>1253</v>
      </c>
      <c r="E2618" s="1" t="s">
        <v>1260</v>
      </c>
      <c r="F2618" s="1" t="s">
        <v>49</v>
      </c>
      <c r="G2618" s="1" t="str">
        <f>"06032681006"</f>
        <v>06032681006</v>
      </c>
      <c r="I2618" s="1" t="s">
        <v>1351</v>
      </c>
      <c r="L2618" s="1" t="s">
        <v>44</v>
      </c>
      <c r="M2618" s="1" t="s">
        <v>1255</v>
      </c>
      <c r="AG2618" s="1" t="s">
        <v>5366</v>
      </c>
      <c r="AH2618" s="2">
        <v>45065</v>
      </c>
      <c r="AI2618" s="2">
        <v>45291</v>
      </c>
      <c r="AJ2618" s="2">
        <v>45065</v>
      </c>
    </row>
    <row r="2619" spans="1:36">
      <c r="A2619" s="1" t="str">
        <f>"Z043B34565"</f>
        <v>Z043B34565</v>
      </c>
      <c r="B2619" s="1" t="str">
        <f t="shared" si="62"/>
        <v>02406911202</v>
      </c>
      <c r="C2619" s="1" t="s">
        <v>13</v>
      </c>
      <c r="D2619" s="1" t="s">
        <v>1253</v>
      </c>
      <c r="E2619" s="1" t="s">
        <v>3210</v>
      </c>
      <c r="F2619" s="1" t="s">
        <v>49</v>
      </c>
      <c r="H2619" s="1" t="str">
        <f>"106883221"</f>
        <v>106883221</v>
      </c>
      <c r="I2619" s="1" t="s">
        <v>2894</v>
      </c>
      <c r="L2619" s="1" t="s">
        <v>44</v>
      </c>
      <c r="M2619" s="1" t="s">
        <v>1255</v>
      </c>
      <c r="AG2619" s="1" t="s">
        <v>5367</v>
      </c>
      <c r="AH2619" s="2">
        <v>45065</v>
      </c>
      <c r="AI2619" s="2">
        <v>45291</v>
      </c>
      <c r="AJ2619" s="2">
        <v>45065</v>
      </c>
    </row>
    <row r="2620" spans="1:36">
      <c r="A2620" s="1" t="str">
        <f>"Z4C39C8FFE"</f>
        <v>Z4C39C8FFE</v>
      </c>
      <c r="B2620" s="1" t="str">
        <f t="shared" si="62"/>
        <v>02406911202</v>
      </c>
      <c r="C2620" s="1" t="s">
        <v>13</v>
      </c>
      <c r="D2620" s="1" t="s">
        <v>1741</v>
      </c>
      <c r="E2620" s="1" t="s">
        <v>5368</v>
      </c>
      <c r="F2620" s="1" t="s">
        <v>39</v>
      </c>
      <c r="G2620" s="1" t="str">
        <f>"02047791203"</f>
        <v>02047791203</v>
      </c>
      <c r="I2620" s="1" t="s">
        <v>5369</v>
      </c>
      <c r="L2620" s="1" t="s">
        <v>44</v>
      </c>
      <c r="M2620" s="1" t="s">
        <v>5370</v>
      </c>
      <c r="AG2620" s="1" t="s">
        <v>5371</v>
      </c>
      <c r="AH2620" s="2">
        <v>44959</v>
      </c>
      <c r="AI2620" s="2">
        <v>45291</v>
      </c>
      <c r="AJ2620" s="2">
        <v>44959</v>
      </c>
    </row>
    <row r="2621" spans="1:36">
      <c r="A2621" s="1" t="str">
        <f>"9774083473"</f>
        <v>9774083473</v>
      </c>
      <c r="B2621" s="1" t="str">
        <f t="shared" si="62"/>
        <v>02406911202</v>
      </c>
      <c r="C2621" s="1" t="s">
        <v>13</v>
      </c>
      <c r="D2621" s="1" t="s">
        <v>37</v>
      </c>
      <c r="E2621" s="1" t="s">
        <v>5372</v>
      </c>
      <c r="F2621" s="1" t="s">
        <v>117</v>
      </c>
      <c r="G2621" s="1" t="str">
        <f>"03690650134"</f>
        <v>03690650134</v>
      </c>
      <c r="I2621" s="1" t="s">
        <v>1271</v>
      </c>
      <c r="L2621" s="1" t="s">
        <v>44</v>
      </c>
      <c r="M2621" s="1" t="s">
        <v>386</v>
      </c>
      <c r="AG2621" s="1" t="s">
        <v>124</v>
      </c>
      <c r="AH2621" s="2">
        <v>45002</v>
      </c>
      <c r="AI2621" s="2">
        <v>46841</v>
      </c>
      <c r="AJ2621" s="2">
        <v>45002</v>
      </c>
    </row>
    <row r="2622" spans="1:36">
      <c r="A2622" s="1" t="str">
        <f>"977418047F"</f>
        <v>977418047F</v>
      </c>
      <c r="B2622" s="1" t="str">
        <f t="shared" si="62"/>
        <v>02406911202</v>
      </c>
      <c r="C2622" s="1" t="s">
        <v>13</v>
      </c>
      <c r="D2622" s="1" t="s">
        <v>37</v>
      </c>
      <c r="E2622" s="1" t="s">
        <v>5373</v>
      </c>
      <c r="F2622" s="1" t="s">
        <v>117</v>
      </c>
      <c r="G2622" s="1" t="str">
        <f>"02790240101"</f>
        <v>02790240101</v>
      </c>
      <c r="I2622" s="1" t="s">
        <v>275</v>
      </c>
      <c r="L2622" s="1" t="s">
        <v>44</v>
      </c>
      <c r="M2622" s="1" t="s">
        <v>5374</v>
      </c>
      <c r="AG2622" s="1" t="s">
        <v>5375</v>
      </c>
      <c r="AH2622" s="2">
        <v>45002</v>
      </c>
      <c r="AI2622" s="2">
        <v>46841</v>
      </c>
      <c r="AJ2622" s="2">
        <v>45002</v>
      </c>
    </row>
    <row r="2623" spans="1:36">
      <c r="A2623" s="1" t="str">
        <f>"977434195A"</f>
        <v>977434195A</v>
      </c>
      <c r="B2623" s="1" t="str">
        <f t="shared" si="62"/>
        <v>02406911202</v>
      </c>
      <c r="C2623" s="1" t="s">
        <v>13</v>
      </c>
      <c r="D2623" s="1" t="s">
        <v>37</v>
      </c>
      <c r="E2623" s="1" t="s">
        <v>5376</v>
      </c>
      <c r="F2623" s="1" t="s">
        <v>117</v>
      </c>
      <c r="G2623" s="1" t="str">
        <f>"00803890151"</f>
        <v>00803890151</v>
      </c>
      <c r="I2623" s="1" t="s">
        <v>68</v>
      </c>
      <c r="L2623" s="1" t="s">
        <v>44</v>
      </c>
      <c r="M2623" s="1" t="s">
        <v>55</v>
      </c>
      <c r="AG2623" s="1" t="s">
        <v>1209</v>
      </c>
      <c r="AH2623" s="2">
        <v>45002</v>
      </c>
      <c r="AI2623" s="2">
        <v>46833</v>
      </c>
      <c r="AJ2623" s="2">
        <v>45002</v>
      </c>
    </row>
    <row r="2624" spans="1:36">
      <c r="A2624" s="1" t="str">
        <f>"Z3D3B2EDCF"</f>
        <v>Z3D3B2EDCF</v>
      </c>
      <c r="B2624" s="1" t="str">
        <f t="shared" si="62"/>
        <v>02406911202</v>
      </c>
      <c r="C2624" s="1" t="s">
        <v>13</v>
      </c>
      <c r="D2624" s="1" t="s">
        <v>205</v>
      </c>
      <c r="E2624" s="1" t="s">
        <v>5377</v>
      </c>
      <c r="F2624" s="1" t="s">
        <v>49</v>
      </c>
      <c r="G2624" s="1" t="str">
        <f>"03681171207"</f>
        <v>03681171207</v>
      </c>
      <c r="I2624" s="1" t="s">
        <v>5378</v>
      </c>
      <c r="L2624" s="1" t="s">
        <v>44</v>
      </c>
      <c r="M2624" s="1" t="s">
        <v>5379</v>
      </c>
      <c r="AG2624" s="1" t="s">
        <v>5380</v>
      </c>
      <c r="AH2624" s="2">
        <v>44927</v>
      </c>
      <c r="AI2624" s="2">
        <v>45291</v>
      </c>
      <c r="AJ2624" s="2">
        <v>44927</v>
      </c>
    </row>
    <row r="2625" spans="1:36">
      <c r="A2625" s="1" t="str">
        <f>"Z3A3B2EDFB"</f>
        <v>Z3A3B2EDFB</v>
      </c>
      <c r="B2625" s="1" t="str">
        <f t="shared" si="62"/>
        <v>02406911202</v>
      </c>
      <c r="C2625" s="1" t="s">
        <v>13</v>
      </c>
      <c r="D2625" s="1" t="s">
        <v>205</v>
      </c>
      <c r="E2625" s="1" t="s">
        <v>5381</v>
      </c>
      <c r="F2625" s="1" t="s">
        <v>49</v>
      </c>
      <c r="G2625" s="1" t="str">
        <f>"03664731209"</f>
        <v>03664731209</v>
      </c>
      <c r="I2625" s="1" t="s">
        <v>5382</v>
      </c>
      <c r="L2625" s="1" t="s">
        <v>44</v>
      </c>
      <c r="M2625" s="1" t="s">
        <v>5383</v>
      </c>
      <c r="AG2625" s="1" t="s">
        <v>5384</v>
      </c>
      <c r="AH2625" s="2">
        <v>44927</v>
      </c>
      <c r="AI2625" s="2">
        <v>45291</v>
      </c>
      <c r="AJ2625" s="2">
        <v>44927</v>
      </c>
    </row>
    <row r="2626" spans="1:36">
      <c r="A2626" s="1" t="str">
        <f>"Z043B2EE22"</f>
        <v>Z043B2EE22</v>
      </c>
      <c r="B2626" s="1" t="str">
        <f t="shared" si="62"/>
        <v>02406911202</v>
      </c>
      <c r="C2626" s="1" t="s">
        <v>13</v>
      </c>
      <c r="D2626" s="1" t="s">
        <v>205</v>
      </c>
      <c r="E2626" s="1" t="s">
        <v>5385</v>
      </c>
      <c r="F2626" s="1" t="s">
        <v>49</v>
      </c>
      <c r="G2626" s="1" t="str">
        <f>"04079301208"</f>
        <v>04079301208</v>
      </c>
      <c r="I2626" s="1" t="s">
        <v>5386</v>
      </c>
      <c r="L2626" s="1" t="s">
        <v>44</v>
      </c>
      <c r="M2626" s="1" t="s">
        <v>5387</v>
      </c>
      <c r="AG2626" s="1" t="s">
        <v>5388</v>
      </c>
      <c r="AH2626" s="2">
        <v>44927</v>
      </c>
      <c r="AI2626" s="2">
        <v>45291</v>
      </c>
      <c r="AJ2626" s="2">
        <v>44927</v>
      </c>
    </row>
    <row r="2627" spans="1:36">
      <c r="A2627" s="1" t="str">
        <f>"ZCD3B2EE62"</f>
        <v>ZCD3B2EE62</v>
      </c>
      <c r="B2627" s="1" t="str">
        <f t="shared" si="62"/>
        <v>02406911202</v>
      </c>
      <c r="C2627" s="1" t="s">
        <v>13</v>
      </c>
      <c r="D2627" s="1" t="s">
        <v>205</v>
      </c>
      <c r="E2627" s="1" t="s">
        <v>5389</v>
      </c>
      <c r="F2627" s="1" t="s">
        <v>49</v>
      </c>
      <c r="G2627" s="1" t="str">
        <f>"03252131200"</f>
        <v>03252131200</v>
      </c>
      <c r="I2627" s="1" t="s">
        <v>5390</v>
      </c>
      <c r="L2627" s="1" t="s">
        <v>44</v>
      </c>
      <c r="M2627" s="1" t="s">
        <v>5391</v>
      </c>
      <c r="AG2627" s="1" t="s">
        <v>124</v>
      </c>
      <c r="AH2627" s="2">
        <v>44927</v>
      </c>
      <c r="AI2627" s="2">
        <v>45291</v>
      </c>
      <c r="AJ2627" s="2">
        <v>44927</v>
      </c>
    </row>
    <row r="2628" spans="1:36">
      <c r="A2628" s="1" t="str">
        <f>"ZEB3B2EEA0"</f>
        <v>ZEB3B2EEA0</v>
      </c>
      <c r="B2628" s="1" t="str">
        <f t="shared" si="62"/>
        <v>02406911202</v>
      </c>
      <c r="C2628" s="1" t="s">
        <v>13</v>
      </c>
      <c r="D2628" s="1" t="s">
        <v>205</v>
      </c>
      <c r="E2628" s="1" t="s">
        <v>5392</v>
      </c>
      <c r="F2628" s="1" t="s">
        <v>49</v>
      </c>
      <c r="G2628" s="1" t="str">
        <f>"03248721205"</f>
        <v>03248721205</v>
      </c>
      <c r="I2628" s="1" t="s">
        <v>5393</v>
      </c>
      <c r="L2628" s="1" t="s">
        <v>44</v>
      </c>
      <c r="M2628" s="1" t="s">
        <v>5394</v>
      </c>
      <c r="AG2628" s="1" t="s">
        <v>5395</v>
      </c>
      <c r="AH2628" s="2">
        <v>44927</v>
      </c>
      <c r="AI2628" s="2">
        <v>45291</v>
      </c>
      <c r="AJ2628" s="2">
        <v>44927</v>
      </c>
    </row>
    <row r="2629" spans="1:36">
      <c r="A2629" s="1" t="str">
        <f>"Z203B2EED1"</f>
        <v>Z203B2EED1</v>
      </c>
      <c r="B2629" s="1" t="str">
        <f t="shared" si="62"/>
        <v>02406911202</v>
      </c>
      <c r="C2629" s="1" t="s">
        <v>13</v>
      </c>
      <c r="D2629" s="1" t="s">
        <v>205</v>
      </c>
      <c r="E2629" s="1" t="s">
        <v>5396</v>
      </c>
      <c r="F2629" s="1" t="s">
        <v>49</v>
      </c>
      <c r="G2629" s="1" t="str">
        <f>"03252801208"</f>
        <v>03252801208</v>
      </c>
      <c r="I2629" s="1" t="s">
        <v>5397</v>
      </c>
      <c r="L2629" s="1" t="s">
        <v>44</v>
      </c>
      <c r="M2629" s="1" t="s">
        <v>5398</v>
      </c>
      <c r="AG2629" s="1" t="s">
        <v>5399</v>
      </c>
      <c r="AH2629" s="2">
        <v>44927</v>
      </c>
      <c r="AI2629" s="2">
        <v>45291</v>
      </c>
      <c r="AJ2629" s="2">
        <v>44927</v>
      </c>
    </row>
    <row r="2630" spans="1:36">
      <c r="A2630" s="1" t="str">
        <f>"Z453B2EEFC"</f>
        <v>Z453B2EEFC</v>
      </c>
      <c r="B2630" s="1" t="str">
        <f t="shared" ref="B2630:B2693" si="63">"02406911202"</f>
        <v>02406911202</v>
      </c>
      <c r="C2630" s="1" t="s">
        <v>13</v>
      </c>
      <c r="D2630" s="1" t="s">
        <v>205</v>
      </c>
      <c r="E2630" s="1" t="s">
        <v>5400</v>
      </c>
      <c r="F2630" s="1" t="s">
        <v>49</v>
      </c>
      <c r="G2630" s="1" t="str">
        <f>"03258741200"</f>
        <v>03258741200</v>
      </c>
      <c r="I2630" s="1" t="s">
        <v>5401</v>
      </c>
      <c r="L2630" s="1" t="s">
        <v>44</v>
      </c>
      <c r="M2630" s="1" t="s">
        <v>5402</v>
      </c>
      <c r="AG2630" s="1" t="s">
        <v>124</v>
      </c>
      <c r="AH2630" s="2">
        <v>44927</v>
      </c>
      <c r="AI2630" s="2">
        <v>45291</v>
      </c>
      <c r="AJ2630" s="2">
        <v>44927</v>
      </c>
    </row>
    <row r="2631" spans="1:36">
      <c r="A2631" s="1" t="str">
        <f>"Z8B3B2EF39"</f>
        <v>Z8B3B2EF39</v>
      </c>
      <c r="B2631" s="1" t="str">
        <f t="shared" si="63"/>
        <v>02406911202</v>
      </c>
      <c r="C2631" s="1" t="s">
        <v>13</v>
      </c>
      <c r="D2631" s="1" t="s">
        <v>205</v>
      </c>
      <c r="E2631" s="1" t="s">
        <v>5403</v>
      </c>
      <c r="F2631" s="1" t="s">
        <v>49</v>
      </c>
      <c r="G2631" s="1" t="str">
        <f>"03611511209"</f>
        <v>03611511209</v>
      </c>
      <c r="I2631" s="1" t="s">
        <v>5404</v>
      </c>
      <c r="L2631" s="1" t="s">
        <v>44</v>
      </c>
      <c r="M2631" s="1" t="s">
        <v>5405</v>
      </c>
      <c r="AG2631" s="1" t="s">
        <v>5406</v>
      </c>
      <c r="AH2631" s="2">
        <v>44927</v>
      </c>
      <c r="AI2631" s="2">
        <v>45291</v>
      </c>
      <c r="AJ2631" s="2">
        <v>44927</v>
      </c>
    </row>
    <row r="2632" spans="1:36">
      <c r="A2632" s="1" t="str">
        <f>"ZA23B2F180"</f>
        <v>ZA23B2F180</v>
      </c>
      <c r="B2632" s="1" t="str">
        <f t="shared" si="63"/>
        <v>02406911202</v>
      </c>
      <c r="C2632" s="1" t="s">
        <v>13</v>
      </c>
      <c r="D2632" s="1" t="s">
        <v>205</v>
      </c>
      <c r="E2632" s="1" t="s">
        <v>5407</v>
      </c>
      <c r="F2632" s="1" t="s">
        <v>49</v>
      </c>
      <c r="G2632" s="1" t="str">
        <f>"03613021207"</f>
        <v>03613021207</v>
      </c>
      <c r="I2632" s="1" t="s">
        <v>5408</v>
      </c>
      <c r="L2632" s="1" t="s">
        <v>44</v>
      </c>
      <c r="M2632" s="1" t="s">
        <v>5409</v>
      </c>
      <c r="AG2632" s="1" t="s">
        <v>5410</v>
      </c>
      <c r="AH2632" s="2">
        <v>44927</v>
      </c>
      <c r="AI2632" s="2">
        <v>45291</v>
      </c>
      <c r="AJ2632" s="2">
        <v>44927</v>
      </c>
    </row>
    <row r="2633" spans="1:36">
      <c r="A2633" s="1" t="str">
        <f>"ZF03B2F1EF"</f>
        <v>ZF03B2F1EF</v>
      </c>
      <c r="B2633" s="1" t="str">
        <f t="shared" si="63"/>
        <v>02406911202</v>
      </c>
      <c r="C2633" s="1" t="s">
        <v>13</v>
      </c>
      <c r="D2633" s="1" t="s">
        <v>205</v>
      </c>
      <c r="E2633" s="1" t="s">
        <v>5411</v>
      </c>
      <c r="F2633" s="1" t="s">
        <v>49</v>
      </c>
      <c r="G2633" s="1" t="str">
        <f>"03664941204"</f>
        <v>03664941204</v>
      </c>
      <c r="I2633" s="1" t="s">
        <v>5412</v>
      </c>
      <c r="L2633" s="1" t="s">
        <v>44</v>
      </c>
      <c r="M2633" s="1" t="s">
        <v>5413</v>
      </c>
      <c r="AG2633" s="1" t="s">
        <v>5414</v>
      </c>
      <c r="AH2633" s="2">
        <v>44927</v>
      </c>
      <c r="AI2633" s="2">
        <v>45291</v>
      </c>
      <c r="AJ2633" s="2">
        <v>44927</v>
      </c>
    </row>
    <row r="2634" spans="1:36">
      <c r="A2634" s="1" t="str">
        <f>"Z303B31572"</f>
        <v>Z303B31572</v>
      </c>
      <c r="B2634" s="1" t="str">
        <f t="shared" si="63"/>
        <v>02406911202</v>
      </c>
      <c r="C2634" s="1" t="s">
        <v>13</v>
      </c>
      <c r="D2634" s="1" t="s">
        <v>205</v>
      </c>
      <c r="E2634" s="1" t="s">
        <v>5415</v>
      </c>
      <c r="F2634" s="1" t="s">
        <v>49</v>
      </c>
      <c r="G2634" s="1" t="str">
        <f>"03072071206"</f>
        <v>03072071206</v>
      </c>
      <c r="I2634" s="1" t="s">
        <v>5416</v>
      </c>
      <c r="L2634" s="1" t="s">
        <v>44</v>
      </c>
      <c r="M2634" s="1" t="s">
        <v>5417</v>
      </c>
      <c r="AG2634" s="1" t="s">
        <v>5418</v>
      </c>
      <c r="AH2634" s="2">
        <v>44927</v>
      </c>
      <c r="AI2634" s="2">
        <v>45291</v>
      </c>
      <c r="AJ2634" s="2">
        <v>44927</v>
      </c>
    </row>
    <row r="2635" spans="1:36">
      <c r="A2635" s="1" t="str">
        <f>"ZCE3B315DF"</f>
        <v>ZCE3B315DF</v>
      </c>
      <c r="B2635" s="1" t="str">
        <f t="shared" si="63"/>
        <v>02406911202</v>
      </c>
      <c r="C2635" s="1" t="s">
        <v>13</v>
      </c>
      <c r="D2635" s="1" t="s">
        <v>205</v>
      </c>
      <c r="E2635" s="1" t="s">
        <v>5419</v>
      </c>
      <c r="F2635" s="1" t="s">
        <v>49</v>
      </c>
      <c r="G2635" s="1" t="str">
        <f>"03060041203"</f>
        <v>03060041203</v>
      </c>
      <c r="I2635" s="1" t="s">
        <v>5420</v>
      </c>
      <c r="L2635" s="1" t="s">
        <v>44</v>
      </c>
      <c r="M2635" s="1" t="s">
        <v>5421</v>
      </c>
      <c r="AG2635" s="1" t="s">
        <v>5422</v>
      </c>
      <c r="AH2635" s="2">
        <v>44927</v>
      </c>
      <c r="AI2635" s="2">
        <v>45291</v>
      </c>
      <c r="AJ2635" s="2">
        <v>44927</v>
      </c>
    </row>
    <row r="2636" spans="1:36">
      <c r="A2636" s="1" t="str">
        <f>"ZD33B31738"</f>
        <v>ZD33B31738</v>
      </c>
      <c r="B2636" s="1" t="str">
        <f t="shared" si="63"/>
        <v>02406911202</v>
      </c>
      <c r="C2636" s="1" t="s">
        <v>13</v>
      </c>
      <c r="D2636" s="1" t="s">
        <v>205</v>
      </c>
      <c r="E2636" s="1" t="s">
        <v>5423</v>
      </c>
      <c r="F2636" s="1" t="s">
        <v>49</v>
      </c>
      <c r="G2636" s="1" t="str">
        <f>"03073321204"</f>
        <v>03073321204</v>
      </c>
      <c r="I2636" s="1" t="s">
        <v>5424</v>
      </c>
      <c r="L2636" s="1" t="s">
        <v>44</v>
      </c>
      <c r="M2636" s="1" t="s">
        <v>5425</v>
      </c>
      <c r="AG2636" s="1" t="s">
        <v>5426</v>
      </c>
      <c r="AH2636" s="2">
        <v>44927</v>
      </c>
      <c r="AI2636" s="2">
        <v>45291</v>
      </c>
      <c r="AJ2636" s="2">
        <v>44927</v>
      </c>
    </row>
    <row r="2637" spans="1:36">
      <c r="A2637" s="1" t="str">
        <f>"ZC03B317FB"</f>
        <v>ZC03B317FB</v>
      </c>
      <c r="B2637" s="1" t="str">
        <f t="shared" si="63"/>
        <v>02406911202</v>
      </c>
      <c r="C2637" s="1" t="s">
        <v>13</v>
      </c>
      <c r="D2637" s="1" t="s">
        <v>205</v>
      </c>
      <c r="E2637" s="1" t="s">
        <v>5427</v>
      </c>
      <c r="F2637" s="1" t="s">
        <v>49</v>
      </c>
      <c r="G2637" s="1" t="str">
        <f>"02977251202"</f>
        <v>02977251202</v>
      </c>
      <c r="I2637" s="1" t="s">
        <v>5428</v>
      </c>
      <c r="L2637" s="1" t="s">
        <v>44</v>
      </c>
      <c r="M2637" s="1" t="s">
        <v>5429</v>
      </c>
      <c r="AG2637" s="1" t="s">
        <v>5430</v>
      </c>
      <c r="AH2637" s="2">
        <v>44927</v>
      </c>
      <c r="AI2637" s="2">
        <v>45291</v>
      </c>
      <c r="AJ2637" s="2">
        <v>44927</v>
      </c>
    </row>
    <row r="2638" spans="1:36">
      <c r="A2638" s="1" t="str">
        <f>"Z923B3194F"</f>
        <v>Z923B3194F</v>
      </c>
      <c r="B2638" s="1" t="str">
        <f t="shared" si="63"/>
        <v>02406911202</v>
      </c>
      <c r="C2638" s="1" t="s">
        <v>13</v>
      </c>
      <c r="D2638" s="1" t="s">
        <v>205</v>
      </c>
      <c r="E2638" s="1" t="s">
        <v>5258</v>
      </c>
      <c r="F2638" s="1" t="s">
        <v>49</v>
      </c>
      <c r="G2638" s="1" t="str">
        <f>"03075181200"</f>
        <v>03075181200</v>
      </c>
      <c r="I2638" s="1" t="s">
        <v>5431</v>
      </c>
      <c r="L2638" s="1" t="s">
        <v>44</v>
      </c>
      <c r="M2638" s="1" t="s">
        <v>5432</v>
      </c>
      <c r="AG2638" s="1" t="s">
        <v>5433</v>
      </c>
      <c r="AH2638" s="2">
        <v>44927</v>
      </c>
      <c r="AI2638" s="2">
        <v>45291</v>
      </c>
      <c r="AJ2638" s="2">
        <v>44927</v>
      </c>
    </row>
    <row r="2639" spans="1:36">
      <c r="A2639" s="1" t="str">
        <f>"Z563B31EB5"</f>
        <v>Z563B31EB5</v>
      </c>
      <c r="B2639" s="1" t="str">
        <f t="shared" si="63"/>
        <v>02406911202</v>
      </c>
      <c r="C2639" s="1" t="s">
        <v>13</v>
      </c>
      <c r="D2639" s="1" t="s">
        <v>205</v>
      </c>
      <c r="E2639" s="1" t="s">
        <v>5434</v>
      </c>
      <c r="F2639" s="1" t="s">
        <v>49</v>
      </c>
      <c r="G2639" s="1" t="str">
        <f>"03415001209"</f>
        <v>03415001209</v>
      </c>
      <c r="I2639" s="1" t="s">
        <v>5435</v>
      </c>
      <c r="L2639" s="1" t="s">
        <v>44</v>
      </c>
      <c r="M2639" s="1" t="s">
        <v>5436</v>
      </c>
      <c r="AG2639" s="1" t="s">
        <v>5437</v>
      </c>
      <c r="AH2639" s="2">
        <v>44927</v>
      </c>
      <c r="AI2639" s="2">
        <v>45291</v>
      </c>
      <c r="AJ2639" s="2">
        <v>44927</v>
      </c>
    </row>
    <row r="2640" spans="1:36">
      <c r="A2640" s="1" t="str">
        <f>"Z4A3B32547"</f>
        <v>Z4A3B32547</v>
      </c>
      <c r="B2640" s="1" t="str">
        <f t="shared" si="63"/>
        <v>02406911202</v>
      </c>
      <c r="C2640" s="1" t="s">
        <v>13</v>
      </c>
      <c r="D2640" s="1" t="s">
        <v>205</v>
      </c>
      <c r="E2640" s="1" t="s">
        <v>5438</v>
      </c>
      <c r="F2640" s="1" t="s">
        <v>49</v>
      </c>
      <c r="G2640" s="1" t="str">
        <f>"03472261209"</f>
        <v>03472261209</v>
      </c>
      <c r="I2640" s="1" t="s">
        <v>5439</v>
      </c>
      <c r="L2640" s="1" t="s">
        <v>44</v>
      </c>
      <c r="M2640" s="1" t="s">
        <v>5440</v>
      </c>
      <c r="AG2640" s="1" t="s">
        <v>5441</v>
      </c>
      <c r="AH2640" s="2">
        <v>44927</v>
      </c>
      <c r="AI2640" s="2">
        <v>45291</v>
      </c>
      <c r="AJ2640" s="2">
        <v>44927</v>
      </c>
    </row>
    <row r="2641" spans="1:36">
      <c r="A2641" s="1" t="str">
        <f>"Z463B3252E"</f>
        <v>Z463B3252E</v>
      </c>
      <c r="B2641" s="1" t="str">
        <f t="shared" si="63"/>
        <v>02406911202</v>
      </c>
      <c r="C2641" s="1" t="s">
        <v>13</v>
      </c>
      <c r="D2641" s="1" t="s">
        <v>1253</v>
      </c>
      <c r="E2641" s="1" t="s">
        <v>1270</v>
      </c>
      <c r="F2641" s="1" t="s">
        <v>49</v>
      </c>
      <c r="G2641" s="1" t="str">
        <f>"12792100153"</f>
        <v>12792100153</v>
      </c>
      <c r="I2641" s="1" t="s">
        <v>803</v>
      </c>
      <c r="L2641" s="1" t="s">
        <v>44</v>
      </c>
      <c r="M2641" s="1" t="s">
        <v>1255</v>
      </c>
      <c r="AG2641" s="1" t="s">
        <v>5442</v>
      </c>
      <c r="AH2641" s="2">
        <v>45063</v>
      </c>
      <c r="AI2641" s="2">
        <v>45291</v>
      </c>
      <c r="AJ2641" s="2">
        <v>45063</v>
      </c>
    </row>
    <row r="2642" spans="1:36">
      <c r="A2642" s="1" t="str">
        <f>"Z7B3B325BD"</f>
        <v>Z7B3B325BD</v>
      </c>
      <c r="B2642" s="1" t="str">
        <f t="shared" si="63"/>
        <v>02406911202</v>
      </c>
      <c r="C2642" s="1" t="s">
        <v>13</v>
      </c>
      <c r="D2642" s="1" t="s">
        <v>205</v>
      </c>
      <c r="E2642" s="1" t="s">
        <v>5443</v>
      </c>
      <c r="F2642" s="1" t="s">
        <v>49</v>
      </c>
      <c r="G2642" s="1" t="str">
        <f>"03741201200"</f>
        <v>03741201200</v>
      </c>
      <c r="I2642" s="1" t="s">
        <v>5444</v>
      </c>
      <c r="L2642" s="1" t="s">
        <v>44</v>
      </c>
      <c r="M2642" s="1" t="s">
        <v>5445</v>
      </c>
      <c r="AG2642" s="1" t="s">
        <v>5446</v>
      </c>
      <c r="AH2642" s="2">
        <v>44927</v>
      </c>
      <c r="AI2642" s="2">
        <v>45291</v>
      </c>
      <c r="AJ2642" s="2">
        <v>44927</v>
      </c>
    </row>
    <row r="2643" spans="1:36">
      <c r="A2643" s="1" t="str">
        <f>"ZBF3B3266B"</f>
        <v>ZBF3B3266B</v>
      </c>
      <c r="B2643" s="1" t="str">
        <f t="shared" si="63"/>
        <v>02406911202</v>
      </c>
      <c r="C2643" s="1" t="s">
        <v>13</v>
      </c>
      <c r="D2643" s="1" t="s">
        <v>205</v>
      </c>
      <c r="E2643" s="1" t="s">
        <v>5447</v>
      </c>
      <c r="F2643" s="1" t="s">
        <v>49</v>
      </c>
      <c r="G2643" s="1" t="str">
        <f>"03546971205"</f>
        <v>03546971205</v>
      </c>
      <c r="I2643" s="1" t="s">
        <v>5448</v>
      </c>
      <c r="L2643" s="1" t="s">
        <v>44</v>
      </c>
      <c r="M2643" s="1" t="s">
        <v>5449</v>
      </c>
      <c r="AG2643" s="1" t="s">
        <v>5450</v>
      </c>
      <c r="AH2643" s="2">
        <v>44927</v>
      </c>
      <c r="AI2643" s="2">
        <v>45291</v>
      </c>
      <c r="AJ2643" s="2">
        <v>44927</v>
      </c>
    </row>
    <row r="2644" spans="1:36">
      <c r="A2644" s="1" t="str">
        <f>"Z033B326BB"</f>
        <v>Z033B326BB</v>
      </c>
      <c r="B2644" s="1" t="str">
        <f t="shared" si="63"/>
        <v>02406911202</v>
      </c>
      <c r="C2644" s="1" t="s">
        <v>13</v>
      </c>
      <c r="D2644" s="1" t="s">
        <v>205</v>
      </c>
      <c r="E2644" s="1" t="s">
        <v>5451</v>
      </c>
      <c r="F2644" s="1" t="s">
        <v>49</v>
      </c>
      <c r="G2644" s="1" t="str">
        <f>"03155521200"</f>
        <v>03155521200</v>
      </c>
      <c r="I2644" s="1" t="s">
        <v>5452</v>
      </c>
      <c r="L2644" s="1" t="s">
        <v>44</v>
      </c>
      <c r="M2644" s="1" t="s">
        <v>5453</v>
      </c>
      <c r="AG2644" s="1" t="s">
        <v>5454</v>
      </c>
      <c r="AH2644" s="2">
        <v>44927</v>
      </c>
      <c r="AI2644" s="2">
        <v>45291</v>
      </c>
      <c r="AJ2644" s="2">
        <v>44927</v>
      </c>
    </row>
    <row r="2645" spans="1:36">
      <c r="A2645" s="1" t="str">
        <f>"9722501DA0"</f>
        <v>9722501DA0</v>
      </c>
      <c r="B2645" s="1" t="str">
        <f t="shared" si="63"/>
        <v>02406911202</v>
      </c>
      <c r="C2645" s="1" t="s">
        <v>13</v>
      </c>
      <c r="D2645" s="1" t="s">
        <v>37</v>
      </c>
      <c r="E2645" s="1" t="s">
        <v>5455</v>
      </c>
      <c r="F2645" s="1" t="s">
        <v>117</v>
      </c>
      <c r="G2645" s="1" t="str">
        <f>"00495451205"</f>
        <v>00495451205</v>
      </c>
      <c r="I2645" s="1" t="s">
        <v>1320</v>
      </c>
      <c r="L2645" s="1" t="s">
        <v>44</v>
      </c>
      <c r="M2645" s="1" t="s">
        <v>392</v>
      </c>
      <c r="AG2645" s="1" t="s">
        <v>5456</v>
      </c>
      <c r="AH2645" s="2">
        <v>45017</v>
      </c>
      <c r="AI2645" s="2">
        <v>45199</v>
      </c>
      <c r="AJ2645" s="2">
        <v>45017</v>
      </c>
    </row>
    <row r="2646" spans="1:36">
      <c r="A2646" s="1" t="str">
        <f>"9734145691"</f>
        <v>9734145691</v>
      </c>
      <c r="B2646" s="1" t="str">
        <f t="shared" si="63"/>
        <v>02406911202</v>
      </c>
      <c r="C2646" s="1" t="s">
        <v>13</v>
      </c>
      <c r="D2646" s="1" t="s">
        <v>37</v>
      </c>
      <c r="E2646" s="1" t="s">
        <v>5457</v>
      </c>
      <c r="F2646" s="1" t="s">
        <v>39</v>
      </c>
      <c r="G2646" s="1" t="str">
        <f>"00076670595"</f>
        <v>00076670595</v>
      </c>
      <c r="I2646" s="1" t="s">
        <v>133</v>
      </c>
      <c r="L2646" s="1" t="s">
        <v>44</v>
      </c>
      <c r="M2646" s="1" t="s">
        <v>5458</v>
      </c>
      <c r="AG2646" s="1" t="s">
        <v>5459</v>
      </c>
      <c r="AH2646" s="2">
        <v>45017</v>
      </c>
      <c r="AI2646" s="2">
        <v>45169</v>
      </c>
      <c r="AJ2646" s="2">
        <v>45017</v>
      </c>
    </row>
    <row r="2647" spans="1:36">
      <c r="A2647" s="1" t="str">
        <f>"Z783A95302"</f>
        <v>Z783A95302</v>
      </c>
      <c r="B2647" s="1" t="str">
        <f t="shared" si="63"/>
        <v>02406911202</v>
      </c>
      <c r="C2647" s="1" t="s">
        <v>13</v>
      </c>
      <c r="D2647" s="1" t="s">
        <v>37</v>
      </c>
      <c r="E2647" s="1" t="s">
        <v>5460</v>
      </c>
      <c r="F2647" s="1" t="s">
        <v>117</v>
      </c>
      <c r="G2647" s="1" t="str">
        <f>"03663500969"</f>
        <v>03663500969</v>
      </c>
      <c r="I2647" s="1" t="s">
        <v>1383</v>
      </c>
      <c r="L2647" s="1" t="s">
        <v>44</v>
      </c>
      <c r="M2647" s="1" t="s">
        <v>5461</v>
      </c>
      <c r="AG2647" s="1" t="s">
        <v>124</v>
      </c>
      <c r="AH2647" s="2">
        <v>45027</v>
      </c>
      <c r="AI2647" s="2">
        <v>45291</v>
      </c>
      <c r="AJ2647" s="2">
        <v>45027</v>
      </c>
    </row>
    <row r="2648" spans="1:36">
      <c r="A2648" s="1" t="str">
        <f>"Z573AC85A1"</f>
        <v>Z573AC85A1</v>
      </c>
      <c r="B2648" s="1" t="str">
        <f t="shared" si="63"/>
        <v>02406911202</v>
      </c>
      <c r="C2648" s="1" t="s">
        <v>13</v>
      </c>
      <c r="D2648" s="1" t="s">
        <v>1312</v>
      </c>
      <c r="E2648" s="1" t="s">
        <v>5462</v>
      </c>
      <c r="F2648" s="1" t="s">
        <v>49</v>
      </c>
      <c r="G2648" s="1" t="str">
        <f>"01865630287"</f>
        <v>01865630287</v>
      </c>
      <c r="I2648" s="1" t="s">
        <v>3155</v>
      </c>
      <c r="L2648" s="1" t="s">
        <v>44</v>
      </c>
      <c r="M2648" s="1" t="s">
        <v>1314</v>
      </c>
      <c r="AG2648" s="1" t="s">
        <v>5463</v>
      </c>
      <c r="AH2648" s="2">
        <v>45030</v>
      </c>
      <c r="AI2648" s="2">
        <v>45657</v>
      </c>
      <c r="AJ2648" s="2">
        <v>45030</v>
      </c>
    </row>
    <row r="2649" spans="1:36">
      <c r="A2649" s="1" t="str">
        <f>"Z783B425D0"</f>
        <v>Z783B425D0</v>
      </c>
      <c r="B2649" s="1" t="str">
        <f t="shared" si="63"/>
        <v>02406911202</v>
      </c>
      <c r="C2649" s="1" t="s">
        <v>13</v>
      </c>
      <c r="D2649" s="1" t="s">
        <v>205</v>
      </c>
      <c r="E2649" s="1" t="s">
        <v>5464</v>
      </c>
      <c r="F2649" s="1" t="s">
        <v>49</v>
      </c>
      <c r="G2649" s="1" t="str">
        <f>"01420020404"</f>
        <v>01420020404</v>
      </c>
      <c r="I2649" s="1" t="s">
        <v>5465</v>
      </c>
      <c r="L2649" s="1" t="s">
        <v>44</v>
      </c>
      <c r="M2649" s="1" t="s">
        <v>103</v>
      </c>
      <c r="AG2649" s="1" t="s">
        <v>5466</v>
      </c>
      <c r="AH2649" s="2">
        <v>45017</v>
      </c>
      <c r="AI2649" s="2">
        <v>45291</v>
      </c>
      <c r="AJ2649" s="2">
        <v>45017</v>
      </c>
    </row>
    <row r="2650" spans="1:36">
      <c r="A2650" s="1" t="str">
        <f>"Z283ACF967"</f>
        <v>Z283ACF967</v>
      </c>
      <c r="B2650" s="1" t="str">
        <f t="shared" si="63"/>
        <v>02406911202</v>
      </c>
      <c r="C2650" s="1" t="s">
        <v>13</v>
      </c>
      <c r="D2650" s="1" t="s">
        <v>1257</v>
      </c>
      <c r="E2650" s="1" t="s">
        <v>5467</v>
      </c>
      <c r="F2650" s="1" t="s">
        <v>49</v>
      </c>
      <c r="G2650" s="1" t="str">
        <f>"00577981202"</f>
        <v>00577981202</v>
      </c>
      <c r="I2650" s="1" t="s">
        <v>1875</v>
      </c>
      <c r="L2650" s="1" t="s">
        <v>44</v>
      </c>
      <c r="M2650" s="1" t="s">
        <v>930</v>
      </c>
      <c r="AG2650" s="1" t="s">
        <v>5468</v>
      </c>
      <c r="AH2650" s="2">
        <v>45033</v>
      </c>
      <c r="AI2650" s="2">
        <v>45291</v>
      </c>
      <c r="AJ2650" s="2">
        <v>45033</v>
      </c>
    </row>
    <row r="2651" spans="1:36">
      <c r="A2651" s="1" t="str">
        <f>"97625631D9"</f>
        <v>97625631D9</v>
      </c>
      <c r="B2651" s="1" t="str">
        <f t="shared" si="63"/>
        <v>02406911202</v>
      </c>
      <c r="C2651" s="1" t="s">
        <v>13</v>
      </c>
      <c r="D2651" s="1" t="s">
        <v>1312</v>
      </c>
      <c r="E2651" s="1" t="s">
        <v>3393</v>
      </c>
      <c r="F2651" s="1" t="s">
        <v>49</v>
      </c>
      <c r="G2651" s="1" t="str">
        <f>"01620830347"</f>
        <v>01620830347</v>
      </c>
      <c r="I2651" s="1" t="s">
        <v>2149</v>
      </c>
      <c r="L2651" s="1" t="s">
        <v>44</v>
      </c>
      <c r="M2651" s="1" t="s">
        <v>5469</v>
      </c>
      <c r="AG2651" s="1" t="s">
        <v>5470</v>
      </c>
      <c r="AH2651" s="2">
        <v>45034</v>
      </c>
      <c r="AI2651" s="2">
        <v>45763</v>
      </c>
      <c r="AJ2651" s="2">
        <v>45034</v>
      </c>
    </row>
    <row r="2652" spans="1:36">
      <c r="A2652" s="1" t="str">
        <f>"Z693AEE382"</f>
        <v>Z693AEE382</v>
      </c>
      <c r="B2652" s="1" t="str">
        <f t="shared" si="63"/>
        <v>02406911202</v>
      </c>
      <c r="C2652" s="1" t="s">
        <v>13</v>
      </c>
      <c r="D2652" s="1" t="s">
        <v>1257</v>
      </c>
      <c r="E2652" s="1" t="s">
        <v>5471</v>
      </c>
      <c r="F2652" s="1" t="s">
        <v>49</v>
      </c>
      <c r="G2652" s="1" t="str">
        <f>"01469840662"</f>
        <v>01469840662</v>
      </c>
      <c r="I2652" s="1" t="s">
        <v>5472</v>
      </c>
      <c r="L2652" s="1" t="s">
        <v>44</v>
      </c>
      <c r="M2652" s="1" t="s">
        <v>5473</v>
      </c>
      <c r="AG2652" s="1" t="s">
        <v>124</v>
      </c>
      <c r="AH2652" s="2">
        <v>45043</v>
      </c>
      <c r="AI2652" s="2">
        <v>45077</v>
      </c>
      <c r="AJ2652" s="2">
        <v>45043</v>
      </c>
    </row>
    <row r="2653" spans="1:36">
      <c r="A2653" s="1" t="str">
        <f>"Z943AF8FE5"</f>
        <v>Z943AF8FE5</v>
      </c>
      <c r="B2653" s="1" t="str">
        <f t="shared" si="63"/>
        <v>02406911202</v>
      </c>
      <c r="C2653" s="1" t="s">
        <v>13</v>
      </c>
      <c r="D2653" s="1" t="s">
        <v>1253</v>
      </c>
      <c r="E2653" s="1" t="s">
        <v>1270</v>
      </c>
      <c r="F2653" s="1" t="s">
        <v>49</v>
      </c>
      <c r="G2653" s="1" t="str">
        <f>"12792100153"</f>
        <v>12792100153</v>
      </c>
      <c r="I2653" s="1" t="s">
        <v>803</v>
      </c>
      <c r="L2653" s="1" t="s">
        <v>44</v>
      </c>
      <c r="M2653" s="1" t="s">
        <v>1255</v>
      </c>
      <c r="AG2653" s="1" t="s">
        <v>5474</v>
      </c>
      <c r="AH2653" s="2">
        <v>45048</v>
      </c>
      <c r="AI2653" s="2">
        <v>45291</v>
      </c>
      <c r="AJ2653" s="2">
        <v>45048</v>
      </c>
    </row>
    <row r="2654" spans="1:36">
      <c r="A2654" s="1" t="str">
        <f>"Z113AF8BF6"</f>
        <v>Z113AF8BF6</v>
      </c>
      <c r="B2654" s="1" t="str">
        <f t="shared" si="63"/>
        <v>02406911202</v>
      </c>
      <c r="C2654" s="1" t="s">
        <v>13</v>
      </c>
      <c r="D2654" s="1" t="s">
        <v>1312</v>
      </c>
      <c r="E2654" s="1" t="s">
        <v>5475</v>
      </c>
      <c r="F2654" s="1" t="s">
        <v>49</v>
      </c>
      <c r="H2654" s="1" t="str">
        <f>"263428781"</f>
        <v>263428781</v>
      </c>
      <c r="I2654" s="1" t="s">
        <v>5476</v>
      </c>
      <c r="L2654" s="1" t="s">
        <v>44</v>
      </c>
      <c r="M2654" s="1" t="s">
        <v>2391</v>
      </c>
      <c r="AG2654" s="1" t="s">
        <v>5477</v>
      </c>
      <c r="AH2654" s="2">
        <v>45048</v>
      </c>
      <c r="AI2654" s="2">
        <v>45077</v>
      </c>
      <c r="AJ2654" s="2">
        <v>45048</v>
      </c>
    </row>
    <row r="2655" spans="1:36">
      <c r="A2655" s="1" t="str">
        <f>"Z3D3AE35DF"</f>
        <v>Z3D3AE35DF</v>
      </c>
      <c r="B2655" s="1" t="str">
        <f t="shared" si="63"/>
        <v>02406911202</v>
      </c>
      <c r="C2655" s="1" t="s">
        <v>13</v>
      </c>
      <c r="D2655" s="1" t="s">
        <v>37</v>
      </c>
      <c r="E2655" s="1" t="s">
        <v>5033</v>
      </c>
      <c r="F2655" s="1" t="s">
        <v>39</v>
      </c>
      <c r="G2655" s="1" t="str">
        <f>"11206730159"</f>
        <v>11206730159</v>
      </c>
      <c r="I2655" s="1" t="s">
        <v>192</v>
      </c>
      <c r="L2655" s="1" t="s">
        <v>44</v>
      </c>
      <c r="M2655" s="1" t="s">
        <v>744</v>
      </c>
      <c r="AG2655" s="1" t="s">
        <v>5478</v>
      </c>
      <c r="AH2655" s="2">
        <v>45047</v>
      </c>
      <c r="AI2655" s="2">
        <v>45229</v>
      </c>
      <c r="AJ2655" s="2">
        <v>45047</v>
      </c>
    </row>
    <row r="2656" spans="1:36">
      <c r="A2656" s="1" t="str">
        <f>"Z333AE361E"</f>
        <v>Z333AE361E</v>
      </c>
      <c r="B2656" s="1" t="str">
        <f t="shared" si="63"/>
        <v>02406911202</v>
      </c>
      <c r="C2656" s="1" t="s">
        <v>13</v>
      </c>
      <c r="D2656" s="1" t="s">
        <v>37</v>
      </c>
      <c r="E2656" s="1" t="s">
        <v>5033</v>
      </c>
      <c r="F2656" s="1" t="s">
        <v>39</v>
      </c>
      <c r="G2656" s="1" t="str">
        <f>"11819500965"</f>
        <v>11819500965</v>
      </c>
      <c r="I2656" s="1" t="s">
        <v>1628</v>
      </c>
      <c r="L2656" s="1" t="s">
        <v>44</v>
      </c>
      <c r="M2656" s="1" t="s">
        <v>103</v>
      </c>
      <c r="AG2656" s="1" t="s">
        <v>5479</v>
      </c>
      <c r="AH2656" s="2">
        <v>45047</v>
      </c>
      <c r="AI2656" s="2">
        <v>45229</v>
      </c>
      <c r="AJ2656" s="2">
        <v>45047</v>
      </c>
    </row>
    <row r="2657" spans="1:36">
      <c r="A2657" s="1" t="str">
        <f>"9787785FAF"</f>
        <v>9787785FAF</v>
      </c>
      <c r="B2657" s="1" t="str">
        <f t="shared" si="63"/>
        <v>02406911202</v>
      </c>
      <c r="C2657" s="1" t="s">
        <v>13</v>
      </c>
      <c r="D2657" s="1" t="s">
        <v>37</v>
      </c>
      <c r="E2657" s="1" t="s">
        <v>5033</v>
      </c>
      <c r="F2657" s="1" t="s">
        <v>39</v>
      </c>
      <c r="G2657" s="1" t="str">
        <f>"01736720994"</f>
        <v>01736720994</v>
      </c>
      <c r="I2657" s="1" t="s">
        <v>80</v>
      </c>
      <c r="L2657" s="1" t="s">
        <v>44</v>
      </c>
      <c r="M2657" s="1" t="s">
        <v>5480</v>
      </c>
      <c r="AG2657" s="1" t="s">
        <v>5481</v>
      </c>
      <c r="AH2657" s="2">
        <v>45047</v>
      </c>
      <c r="AI2657" s="2">
        <v>45229</v>
      </c>
      <c r="AJ2657" s="2">
        <v>45047</v>
      </c>
    </row>
    <row r="2658" spans="1:36">
      <c r="A2658" s="1" t="str">
        <f>"9787805035"</f>
        <v>9787805035</v>
      </c>
      <c r="B2658" s="1" t="str">
        <f t="shared" si="63"/>
        <v>02406911202</v>
      </c>
      <c r="C2658" s="1" t="s">
        <v>13</v>
      </c>
      <c r="D2658" s="1" t="s">
        <v>37</v>
      </c>
      <c r="E2658" s="1" t="s">
        <v>5033</v>
      </c>
      <c r="F2658" s="1" t="s">
        <v>39</v>
      </c>
      <c r="G2658" s="1" t="str">
        <f>"08149900964"</f>
        <v>08149900964</v>
      </c>
      <c r="I2658" s="1" t="s">
        <v>5482</v>
      </c>
      <c r="L2658" s="1" t="s">
        <v>44</v>
      </c>
      <c r="M2658" s="1" t="s">
        <v>5483</v>
      </c>
      <c r="AG2658" s="1" t="s">
        <v>5484</v>
      </c>
      <c r="AH2658" s="2">
        <v>45047</v>
      </c>
      <c r="AI2658" s="2">
        <v>45229</v>
      </c>
      <c r="AJ2658" s="2">
        <v>45047</v>
      </c>
    </row>
    <row r="2659" spans="1:36">
      <c r="A2659" s="1" t="str">
        <f>"ZAC3AE3660"</f>
        <v>ZAC3AE3660</v>
      </c>
      <c r="B2659" s="1" t="str">
        <f t="shared" si="63"/>
        <v>02406911202</v>
      </c>
      <c r="C2659" s="1" t="s">
        <v>13</v>
      </c>
      <c r="D2659" s="1" t="s">
        <v>37</v>
      </c>
      <c r="E2659" s="1" t="s">
        <v>5033</v>
      </c>
      <c r="F2659" s="1" t="s">
        <v>39</v>
      </c>
      <c r="G2659" s="1" t="str">
        <f>"03544600137"</f>
        <v>03544600137</v>
      </c>
      <c r="I2659" s="1" t="s">
        <v>152</v>
      </c>
      <c r="L2659" s="1" t="s">
        <v>44</v>
      </c>
      <c r="M2659" s="1" t="s">
        <v>5485</v>
      </c>
      <c r="AG2659" s="1" t="s">
        <v>5486</v>
      </c>
      <c r="AH2659" s="2">
        <v>45047</v>
      </c>
      <c r="AI2659" s="2">
        <v>45229</v>
      </c>
      <c r="AJ2659" s="2">
        <v>45047</v>
      </c>
    </row>
    <row r="2660" spans="1:36">
      <c r="A2660" s="1" t="str">
        <f>"Z523AE36A1"</f>
        <v>Z523AE36A1</v>
      </c>
      <c r="B2660" s="1" t="str">
        <f t="shared" si="63"/>
        <v>02406911202</v>
      </c>
      <c r="C2660" s="1" t="s">
        <v>13</v>
      </c>
      <c r="D2660" s="1" t="s">
        <v>37</v>
      </c>
      <c r="E2660" s="1" t="s">
        <v>5033</v>
      </c>
      <c r="F2660" s="1" t="s">
        <v>39</v>
      </c>
      <c r="G2660" s="1" t="str">
        <f>"10985900157"</f>
        <v>10985900157</v>
      </c>
      <c r="I2660" s="1" t="s">
        <v>154</v>
      </c>
      <c r="L2660" s="1" t="s">
        <v>44</v>
      </c>
      <c r="M2660" s="1" t="s">
        <v>5487</v>
      </c>
      <c r="AG2660" s="1" t="s">
        <v>5488</v>
      </c>
      <c r="AH2660" s="2">
        <v>45047</v>
      </c>
      <c r="AI2660" s="2">
        <v>45229</v>
      </c>
      <c r="AJ2660" s="2">
        <v>45047</v>
      </c>
    </row>
    <row r="2661" spans="1:36">
      <c r="A2661" s="1" t="str">
        <f>"978782832F"</f>
        <v>978782832F</v>
      </c>
      <c r="B2661" s="1" t="str">
        <f t="shared" si="63"/>
        <v>02406911202</v>
      </c>
      <c r="C2661" s="1" t="s">
        <v>13</v>
      </c>
      <c r="D2661" s="1" t="s">
        <v>37</v>
      </c>
      <c r="E2661" s="1" t="s">
        <v>5033</v>
      </c>
      <c r="F2661" s="1" t="s">
        <v>39</v>
      </c>
      <c r="G2661" s="1" t="str">
        <f>"09238800156"</f>
        <v>09238800156</v>
      </c>
      <c r="I2661" s="1" t="s">
        <v>88</v>
      </c>
      <c r="L2661" s="1" t="s">
        <v>44</v>
      </c>
      <c r="M2661" s="1" t="s">
        <v>369</v>
      </c>
      <c r="AG2661" s="1" t="s">
        <v>5489</v>
      </c>
      <c r="AH2661" s="2">
        <v>45047</v>
      </c>
      <c r="AI2661" s="2">
        <v>45229</v>
      </c>
      <c r="AJ2661" s="2">
        <v>45047</v>
      </c>
    </row>
    <row r="2662" spans="1:36">
      <c r="A2662" s="1" t="str">
        <f>"Z123B38DCD"</f>
        <v>Z123B38DCD</v>
      </c>
      <c r="B2662" s="1" t="str">
        <f t="shared" si="63"/>
        <v>02406911202</v>
      </c>
      <c r="C2662" s="1" t="s">
        <v>13</v>
      </c>
      <c r="D2662" s="1" t="s">
        <v>1253</v>
      </c>
      <c r="E2662" s="1" t="s">
        <v>1387</v>
      </c>
      <c r="F2662" s="1" t="s">
        <v>49</v>
      </c>
      <c r="G2662" s="1" t="str">
        <f>"02457060032"</f>
        <v>02457060032</v>
      </c>
      <c r="I2662" s="1" t="s">
        <v>1263</v>
      </c>
      <c r="L2662" s="1" t="s">
        <v>44</v>
      </c>
      <c r="M2662" s="1" t="s">
        <v>1255</v>
      </c>
      <c r="AG2662" s="1" t="s">
        <v>5490</v>
      </c>
      <c r="AH2662" s="2">
        <v>45064</v>
      </c>
      <c r="AI2662" s="2">
        <v>45291</v>
      </c>
      <c r="AJ2662" s="2">
        <v>45064</v>
      </c>
    </row>
    <row r="2663" spans="1:36">
      <c r="A2663" s="1" t="str">
        <f>"9801069201"</f>
        <v>9801069201</v>
      </c>
      <c r="B2663" s="1" t="str">
        <f t="shared" si="63"/>
        <v>02406911202</v>
      </c>
      <c r="C2663" s="1" t="s">
        <v>13</v>
      </c>
      <c r="D2663" s="1" t="s">
        <v>1253</v>
      </c>
      <c r="E2663" s="1" t="s">
        <v>1260</v>
      </c>
      <c r="F2663" s="1" t="s">
        <v>49</v>
      </c>
      <c r="G2663" s="1" t="str">
        <f>"08082461008"</f>
        <v>08082461008</v>
      </c>
      <c r="I2663" s="1" t="s">
        <v>423</v>
      </c>
      <c r="L2663" s="1" t="s">
        <v>44</v>
      </c>
      <c r="M2663" s="1" t="s">
        <v>2739</v>
      </c>
      <c r="AG2663" s="1" t="s">
        <v>5491</v>
      </c>
      <c r="AH2663" s="2">
        <v>45068</v>
      </c>
      <c r="AI2663" s="2">
        <v>45291</v>
      </c>
      <c r="AJ2663" s="2">
        <v>45068</v>
      </c>
    </row>
    <row r="2664" spans="1:36">
      <c r="A2664" s="1" t="str">
        <f>"980427038D"</f>
        <v>980427038D</v>
      </c>
      <c r="B2664" s="1" t="str">
        <f t="shared" si="63"/>
        <v>02406911202</v>
      </c>
      <c r="C2664" s="1" t="s">
        <v>13</v>
      </c>
      <c r="D2664" s="1" t="s">
        <v>1253</v>
      </c>
      <c r="E2664" s="1" t="s">
        <v>1260</v>
      </c>
      <c r="F2664" s="1" t="s">
        <v>49</v>
      </c>
      <c r="G2664" s="1" t="str">
        <f>"09301330966"</f>
        <v>09301330966</v>
      </c>
      <c r="I2664" s="1" t="s">
        <v>553</v>
      </c>
      <c r="L2664" s="1" t="s">
        <v>44</v>
      </c>
      <c r="M2664" s="1" t="s">
        <v>2739</v>
      </c>
      <c r="AG2664" s="1" t="s">
        <v>5492</v>
      </c>
      <c r="AH2664" s="2">
        <v>45068</v>
      </c>
      <c r="AI2664" s="2">
        <v>45291</v>
      </c>
      <c r="AJ2664" s="2">
        <v>45068</v>
      </c>
    </row>
    <row r="2665" spans="1:36">
      <c r="A2665" s="1" t="str">
        <f>"Z143B2BC85"</f>
        <v>Z143B2BC85</v>
      </c>
      <c r="B2665" s="1" t="str">
        <f t="shared" si="63"/>
        <v>02406911202</v>
      </c>
      <c r="C2665" s="1" t="s">
        <v>13</v>
      </c>
      <c r="D2665" s="1" t="s">
        <v>1312</v>
      </c>
      <c r="E2665" s="1" t="s">
        <v>5493</v>
      </c>
      <c r="F2665" s="1" t="s">
        <v>49</v>
      </c>
      <c r="G2665" s="1" t="str">
        <f>"02285440398"</f>
        <v>02285440398</v>
      </c>
      <c r="I2665" s="1" t="s">
        <v>3732</v>
      </c>
      <c r="L2665" s="1" t="s">
        <v>44</v>
      </c>
      <c r="M2665" s="1" t="s">
        <v>1735</v>
      </c>
      <c r="AG2665" s="1" t="s">
        <v>5494</v>
      </c>
      <c r="AH2665" s="2">
        <v>45068</v>
      </c>
      <c r="AI2665" s="2">
        <v>45291</v>
      </c>
      <c r="AJ2665" s="2">
        <v>45068</v>
      </c>
    </row>
    <row r="2666" spans="1:36">
      <c r="A2666" s="1" t="str">
        <f>"Z7B3B3B6D9"</f>
        <v>Z7B3B3B6D9</v>
      </c>
      <c r="B2666" s="1" t="str">
        <f t="shared" si="63"/>
        <v>02406911202</v>
      </c>
      <c r="C2666" s="1" t="s">
        <v>13</v>
      </c>
      <c r="D2666" s="1" t="s">
        <v>1312</v>
      </c>
      <c r="E2666" s="1" t="s">
        <v>5495</v>
      </c>
      <c r="F2666" s="1" t="s">
        <v>49</v>
      </c>
      <c r="G2666" s="1" t="str">
        <f>"01498810280"</f>
        <v>01498810280</v>
      </c>
      <c r="I2666" s="1" t="s">
        <v>1487</v>
      </c>
      <c r="L2666" s="1" t="s">
        <v>44</v>
      </c>
      <c r="M2666" s="1" t="s">
        <v>1735</v>
      </c>
      <c r="AG2666" s="1" t="s">
        <v>124</v>
      </c>
      <c r="AH2666" s="2">
        <v>45068</v>
      </c>
      <c r="AI2666" s="2">
        <v>45291</v>
      </c>
      <c r="AJ2666" s="2">
        <v>45068</v>
      </c>
    </row>
    <row r="2667" spans="1:36">
      <c r="A2667" s="1" t="str">
        <f>"Z353B4275D"</f>
        <v>Z353B4275D</v>
      </c>
      <c r="B2667" s="1" t="str">
        <f t="shared" si="63"/>
        <v>02406911202</v>
      </c>
      <c r="C2667" s="1" t="s">
        <v>13</v>
      </c>
      <c r="D2667" s="1" t="s">
        <v>1253</v>
      </c>
      <c r="E2667" s="1" t="s">
        <v>1262</v>
      </c>
      <c r="F2667" s="1" t="s">
        <v>49</v>
      </c>
      <c r="G2667" s="1" t="str">
        <f>"03757530716"</f>
        <v>03757530716</v>
      </c>
      <c r="I2667" s="1" t="s">
        <v>4046</v>
      </c>
      <c r="L2667" s="1" t="s">
        <v>44</v>
      </c>
      <c r="M2667" s="1" t="s">
        <v>153</v>
      </c>
      <c r="AG2667" s="1" t="s">
        <v>124</v>
      </c>
      <c r="AH2667" s="2">
        <v>45068</v>
      </c>
      <c r="AI2667" s="2">
        <v>45291</v>
      </c>
      <c r="AJ2667" s="2">
        <v>45068</v>
      </c>
    </row>
    <row r="2668" spans="1:36">
      <c r="A2668" s="1" t="str">
        <f>"Z1E3B42807"</f>
        <v>Z1E3B42807</v>
      </c>
      <c r="B2668" s="1" t="str">
        <f t="shared" si="63"/>
        <v>02406911202</v>
      </c>
      <c r="C2668" s="1" t="s">
        <v>13</v>
      </c>
      <c r="D2668" s="1" t="s">
        <v>1253</v>
      </c>
      <c r="E2668" s="1" t="s">
        <v>1254</v>
      </c>
      <c r="F2668" s="1" t="s">
        <v>49</v>
      </c>
      <c r="G2668" s="1" t="str">
        <f>"00803890151"</f>
        <v>00803890151</v>
      </c>
      <c r="I2668" s="1" t="s">
        <v>68</v>
      </c>
      <c r="L2668" s="1" t="s">
        <v>44</v>
      </c>
      <c r="M2668" s="1" t="s">
        <v>1255</v>
      </c>
      <c r="AG2668" s="1" t="s">
        <v>5496</v>
      </c>
      <c r="AH2668" s="2">
        <v>45068</v>
      </c>
      <c r="AI2668" s="2">
        <v>45291</v>
      </c>
      <c r="AJ2668" s="2">
        <v>45068</v>
      </c>
    </row>
    <row r="2669" spans="1:36">
      <c r="A2669" s="1" t="str">
        <f>"981870078F"</f>
        <v>981870078F</v>
      </c>
      <c r="B2669" s="1" t="str">
        <f t="shared" si="63"/>
        <v>02406911202</v>
      </c>
      <c r="C2669" s="1" t="s">
        <v>13</v>
      </c>
      <c r="D2669" s="1" t="s">
        <v>1253</v>
      </c>
      <c r="E2669" s="1" t="s">
        <v>1260</v>
      </c>
      <c r="F2669" s="1" t="s">
        <v>49</v>
      </c>
      <c r="G2669" s="1" t="str">
        <f>"11408800966"</f>
        <v>11408800966</v>
      </c>
      <c r="I2669" s="1" t="s">
        <v>1930</v>
      </c>
      <c r="L2669" s="1" t="s">
        <v>44</v>
      </c>
      <c r="M2669" s="1" t="s">
        <v>2739</v>
      </c>
      <c r="AG2669" s="1" t="s">
        <v>5497</v>
      </c>
      <c r="AH2669" s="2">
        <v>45069</v>
      </c>
      <c r="AI2669" s="2">
        <v>45291</v>
      </c>
      <c r="AJ2669" s="2">
        <v>45069</v>
      </c>
    </row>
    <row r="2670" spans="1:36">
      <c r="A2670" s="1" t="str">
        <f>"Z5C3B4428B"</f>
        <v>Z5C3B4428B</v>
      </c>
      <c r="B2670" s="1" t="str">
        <f t="shared" si="63"/>
        <v>02406911202</v>
      </c>
      <c r="C2670" s="1" t="s">
        <v>13</v>
      </c>
      <c r="D2670" s="1" t="s">
        <v>1253</v>
      </c>
      <c r="E2670" s="1" t="s">
        <v>1262</v>
      </c>
      <c r="F2670" s="1" t="s">
        <v>49</v>
      </c>
      <c r="G2670" s="1" t="str">
        <f>"02457060032"</f>
        <v>02457060032</v>
      </c>
      <c r="I2670" s="1" t="s">
        <v>1263</v>
      </c>
      <c r="L2670" s="1" t="s">
        <v>44</v>
      </c>
      <c r="M2670" s="1" t="s">
        <v>1255</v>
      </c>
      <c r="AG2670" s="1" t="s">
        <v>5498</v>
      </c>
      <c r="AH2670" s="2">
        <v>45069</v>
      </c>
      <c r="AI2670" s="2">
        <v>45291</v>
      </c>
      <c r="AJ2670" s="2">
        <v>45069</v>
      </c>
    </row>
    <row r="2671" spans="1:36">
      <c r="A2671" s="1" t="str">
        <f>"ZA93B442B5"</f>
        <v>ZA93B442B5</v>
      </c>
      <c r="B2671" s="1" t="str">
        <f t="shared" si="63"/>
        <v>02406911202</v>
      </c>
      <c r="C2671" s="1" t="s">
        <v>13</v>
      </c>
      <c r="D2671" s="1" t="s">
        <v>1253</v>
      </c>
      <c r="E2671" s="1" t="s">
        <v>1262</v>
      </c>
      <c r="F2671" s="1" t="s">
        <v>49</v>
      </c>
      <c r="G2671" s="1" t="str">
        <f>"05849130157"</f>
        <v>05849130157</v>
      </c>
      <c r="I2671" s="1" t="s">
        <v>354</v>
      </c>
      <c r="L2671" s="1" t="s">
        <v>44</v>
      </c>
      <c r="M2671" s="1" t="s">
        <v>153</v>
      </c>
      <c r="AG2671" s="1" t="s">
        <v>5499</v>
      </c>
      <c r="AH2671" s="2">
        <v>45069</v>
      </c>
      <c r="AI2671" s="2">
        <v>45291</v>
      </c>
      <c r="AJ2671" s="2">
        <v>45069</v>
      </c>
    </row>
    <row r="2672" spans="1:36">
      <c r="A2672" s="1" t="str">
        <f>"Z0039B2A32"</f>
        <v>Z0039B2A32</v>
      </c>
      <c r="B2672" s="1" t="str">
        <f t="shared" si="63"/>
        <v>02406911202</v>
      </c>
      <c r="C2672" s="1" t="s">
        <v>13</v>
      </c>
      <c r="D2672" s="1" t="s">
        <v>37</v>
      </c>
      <c r="E2672" s="1" t="s">
        <v>5500</v>
      </c>
      <c r="F2672" s="1" t="s">
        <v>117</v>
      </c>
      <c r="G2672" s="1" t="str">
        <f>"01543860355"</f>
        <v>01543860355</v>
      </c>
      <c r="I2672" s="1" t="s">
        <v>2932</v>
      </c>
      <c r="L2672" s="1" t="s">
        <v>44</v>
      </c>
      <c r="M2672" s="1" t="s">
        <v>5501</v>
      </c>
      <c r="AG2672" s="1" t="s">
        <v>124</v>
      </c>
      <c r="AH2672" s="2">
        <v>44927</v>
      </c>
      <c r="AI2672" s="2">
        <v>45473</v>
      </c>
      <c r="AJ2672" s="2">
        <v>44927</v>
      </c>
    </row>
    <row r="2673" spans="1:36">
      <c r="A2673" s="1" t="str">
        <f>"ZC93A8E189"</f>
        <v>ZC93A8E189</v>
      </c>
      <c r="B2673" s="1" t="str">
        <f t="shared" si="63"/>
        <v>02406911202</v>
      </c>
      <c r="C2673" s="1" t="s">
        <v>13</v>
      </c>
      <c r="D2673" s="1" t="s">
        <v>1253</v>
      </c>
      <c r="E2673" s="1" t="s">
        <v>1270</v>
      </c>
      <c r="F2673" s="1" t="s">
        <v>49</v>
      </c>
      <c r="G2673" s="1" t="str">
        <f>"10282490159"</f>
        <v>10282490159</v>
      </c>
      <c r="I2673" s="1" t="s">
        <v>5502</v>
      </c>
      <c r="L2673" s="1" t="s">
        <v>44</v>
      </c>
      <c r="M2673" s="1" t="s">
        <v>153</v>
      </c>
      <c r="AG2673" s="1" t="s">
        <v>124</v>
      </c>
      <c r="AH2673" s="2">
        <v>45013</v>
      </c>
      <c r="AI2673" s="2">
        <v>45291</v>
      </c>
      <c r="AJ2673" s="2">
        <v>45013</v>
      </c>
    </row>
    <row r="2674" spans="1:36">
      <c r="A2674" s="1" t="str">
        <f>"Z0C3AAD88F"</f>
        <v>Z0C3AAD88F</v>
      </c>
      <c r="B2674" s="1" t="str">
        <f t="shared" si="63"/>
        <v>02406911202</v>
      </c>
      <c r="C2674" s="1" t="s">
        <v>13</v>
      </c>
      <c r="D2674" s="1" t="s">
        <v>1257</v>
      </c>
      <c r="E2674" s="1" t="s">
        <v>5503</v>
      </c>
      <c r="F2674" s="1" t="s">
        <v>49</v>
      </c>
      <c r="G2674" s="1" t="str">
        <f>"00625961206"</f>
        <v>00625961206</v>
      </c>
      <c r="I2674" s="1" t="s">
        <v>5504</v>
      </c>
      <c r="L2674" s="1" t="s">
        <v>44</v>
      </c>
      <c r="M2674" s="1" t="s">
        <v>153</v>
      </c>
      <c r="AG2674" s="1" t="s">
        <v>124</v>
      </c>
      <c r="AH2674" s="2">
        <v>45021</v>
      </c>
      <c r="AI2674" s="2">
        <v>45291</v>
      </c>
      <c r="AJ2674" s="2">
        <v>45021</v>
      </c>
    </row>
    <row r="2675" spans="1:36">
      <c r="A2675" s="1" t="str">
        <f>"Z8A3B28029"</f>
        <v>Z8A3B28029</v>
      </c>
      <c r="B2675" s="1" t="str">
        <f t="shared" si="63"/>
        <v>02406911202</v>
      </c>
      <c r="C2675" s="1" t="s">
        <v>13</v>
      </c>
      <c r="D2675" s="1" t="s">
        <v>1253</v>
      </c>
      <c r="E2675" s="1" t="s">
        <v>5505</v>
      </c>
      <c r="F2675" s="1" t="s">
        <v>49</v>
      </c>
      <c r="G2675" s="1" t="str">
        <f>"02642020156"</f>
        <v>02642020156</v>
      </c>
      <c r="I2675" s="1" t="s">
        <v>253</v>
      </c>
      <c r="L2675" s="1" t="s">
        <v>44</v>
      </c>
      <c r="M2675" s="1" t="s">
        <v>1255</v>
      </c>
      <c r="AG2675" s="1" t="s">
        <v>5506</v>
      </c>
      <c r="AH2675" s="2">
        <v>45061</v>
      </c>
      <c r="AI2675" s="2">
        <v>45291</v>
      </c>
      <c r="AJ2675" s="2">
        <v>45061</v>
      </c>
    </row>
    <row r="2676" spans="1:36">
      <c r="A2676" s="1" t="str">
        <f>"9805812C0A"</f>
        <v>9805812C0A</v>
      </c>
      <c r="B2676" s="1" t="str">
        <f t="shared" si="63"/>
        <v>02406911202</v>
      </c>
      <c r="C2676" s="1" t="s">
        <v>13</v>
      </c>
      <c r="D2676" s="1" t="s">
        <v>1253</v>
      </c>
      <c r="E2676" s="1" t="s">
        <v>1317</v>
      </c>
      <c r="F2676" s="1" t="s">
        <v>49</v>
      </c>
      <c r="G2676" s="1" t="str">
        <f>"08075151004"</f>
        <v>08075151004</v>
      </c>
      <c r="I2676" s="1" t="s">
        <v>3957</v>
      </c>
      <c r="L2676" s="1" t="s">
        <v>44</v>
      </c>
      <c r="M2676" s="1" t="s">
        <v>2400</v>
      </c>
      <c r="AG2676" s="1" t="s">
        <v>5192</v>
      </c>
      <c r="AH2676" s="2">
        <v>45063</v>
      </c>
      <c r="AI2676" s="2">
        <v>45429</v>
      </c>
      <c r="AJ2676" s="2">
        <v>45063</v>
      </c>
    </row>
    <row r="2677" spans="1:36">
      <c r="A2677" s="1" t="str">
        <f>"9816844BEF"</f>
        <v>9816844BEF</v>
      </c>
      <c r="B2677" s="1" t="str">
        <f t="shared" si="63"/>
        <v>02406911202</v>
      </c>
      <c r="C2677" s="1" t="s">
        <v>13</v>
      </c>
      <c r="D2677" s="1" t="s">
        <v>1253</v>
      </c>
      <c r="E2677" s="1" t="s">
        <v>1260</v>
      </c>
      <c r="F2677" s="1" t="s">
        <v>49</v>
      </c>
      <c r="G2677" s="1" t="str">
        <f>"06032681006"</f>
        <v>06032681006</v>
      </c>
      <c r="I2677" s="1" t="s">
        <v>1351</v>
      </c>
      <c r="L2677" s="1" t="s">
        <v>44</v>
      </c>
      <c r="M2677" s="1" t="s">
        <v>2849</v>
      </c>
      <c r="AG2677" s="1" t="s">
        <v>5507</v>
      </c>
      <c r="AH2677" s="2">
        <v>45069</v>
      </c>
      <c r="AI2677" s="2">
        <v>45291</v>
      </c>
      <c r="AJ2677" s="2">
        <v>45069</v>
      </c>
    </row>
    <row r="2678" spans="1:36">
      <c r="A2678" s="1" t="str">
        <f>"Z263B45B35"</f>
        <v>Z263B45B35</v>
      </c>
      <c r="B2678" s="1" t="str">
        <f t="shared" si="63"/>
        <v>02406911202</v>
      </c>
      <c r="C2678" s="1" t="s">
        <v>13</v>
      </c>
      <c r="D2678" s="1" t="s">
        <v>1312</v>
      </c>
      <c r="E2678" s="1" t="s">
        <v>5508</v>
      </c>
      <c r="F2678" s="1" t="s">
        <v>49</v>
      </c>
      <c r="G2678" s="1" t="str">
        <f>"01835220482"</f>
        <v>01835220482</v>
      </c>
      <c r="I2678" s="1" t="s">
        <v>412</v>
      </c>
      <c r="L2678" s="1" t="s">
        <v>44</v>
      </c>
      <c r="M2678" s="1" t="s">
        <v>1314</v>
      </c>
      <c r="AG2678" s="1" t="s">
        <v>5509</v>
      </c>
      <c r="AH2678" s="2">
        <v>45069</v>
      </c>
      <c r="AI2678" s="2">
        <v>45322</v>
      </c>
      <c r="AJ2678" s="2">
        <v>45069</v>
      </c>
    </row>
    <row r="2679" spans="1:36">
      <c r="A2679" s="1" t="str">
        <f>"ZB23AAA14B"</f>
        <v>ZB23AAA14B</v>
      </c>
      <c r="B2679" s="1" t="str">
        <f t="shared" si="63"/>
        <v>02406911202</v>
      </c>
      <c r="C2679" s="1" t="s">
        <v>13</v>
      </c>
      <c r="D2679" s="1" t="s">
        <v>1312</v>
      </c>
      <c r="E2679" s="1" t="s">
        <v>5510</v>
      </c>
      <c r="F2679" s="1" t="s">
        <v>49</v>
      </c>
      <c r="G2679" s="1" t="str">
        <f>"00247650161"</f>
        <v>00247650161</v>
      </c>
      <c r="I2679" s="1" t="s">
        <v>4487</v>
      </c>
      <c r="L2679" s="1" t="s">
        <v>44</v>
      </c>
      <c r="M2679" s="1" t="s">
        <v>1314</v>
      </c>
      <c r="AG2679" s="1" t="s">
        <v>5511</v>
      </c>
      <c r="AH2679" s="2">
        <v>45020</v>
      </c>
      <c r="AI2679" s="2">
        <v>45291</v>
      </c>
      <c r="AJ2679" s="2">
        <v>45020</v>
      </c>
    </row>
    <row r="2680" spans="1:36">
      <c r="A2680" s="1" t="str">
        <f>"9736630940"</f>
        <v>9736630940</v>
      </c>
      <c r="B2680" s="1" t="str">
        <f t="shared" si="63"/>
        <v>02406911202</v>
      </c>
      <c r="C2680" s="1" t="s">
        <v>13</v>
      </c>
      <c r="D2680" s="1" t="s">
        <v>37</v>
      </c>
      <c r="E2680" s="1" t="s">
        <v>5512</v>
      </c>
      <c r="F2680" s="1" t="s">
        <v>117</v>
      </c>
      <c r="G2680" s="1" t="str">
        <f>"02044501001"</f>
        <v>02044501001</v>
      </c>
      <c r="I2680" s="1" t="s">
        <v>885</v>
      </c>
      <c r="L2680" s="1" t="s">
        <v>44</v>
      </c>
      <c r="M2680" s="1" t="s">
        <v>5513</v>
      </c>
      <c r="AG2680" s="1" t="s">
        <v>5514</v>
      </c>
      <c r="AH2680" s="2">
        <v>45020</v>
      </c>
      <c r="AI2680" s="2">
        <v>45374</v>
      </c>
      <c r="AJ2680" s="2">
        <v>45020</v>
      </c>
    </row>
    <row r="2681" spans="1:36">
      <c r="A2681" s="1" t="str">
        <f>"9757646834"</f>
        <v>9757646834</v>
      </c>
      <c r="B2681" s="1" t="str">
        <f t="shared" si="63"/>
        <v>02406911202</v>
      </c>
      <c r="C2681" s="1" t="s">
        <v>13</v>
      </c>
      <c r="D2681" s="1" t="s">
        <v>1312</v>
      </c>
      <c r="E2681" s="1" t="s">
        <v>5515</v>
      </c>
      <c r="F2681" s="1" t="s">
        <v>49</v>
      </c>
      <c r="G2681" s="1" t="str">
        <f>"09018810151"</f>
        <v>09018810151</v>
      </c>
      <c r="I2681" s="1" t="s">
        <v>1542</v>
      </c>
      <c r="L2681" s="1" t="s">
        <v>44</v>
      </c>
      <c r="M2681" s="1" t="s">
        <v>5516</v>
      </c>
      <c r="AG2681" s="1" t="s">
        <v>5517</v>
      </c>
      <c r="AH2681" s="2">
        <v>45034</v>
      </c>
      <c r="AI2681" s="2">
        <v>45777</v>
      </c>
      <c r="AJ2681" s="2">
        <v>45034</v>
      </c>
    </row>
    <row r="2682" spans="1:36">
      <c r="A2682" s="1" t="str">
        <f>"9785592DF7"</f>
        <v>9785592DF7</v>
      </c>
      <c r="B2682" s="1" t="str">
        <f t="shared" si="63"/>
        <v>02406911202</v>
      </c>
      <c r="C2682" s="1" t="s">
        <v>13</v>
      </c>
      <c r="D2682" s="1" t="s">
        <v>37</v>
      </c>
      <c r="E2682" s="1" t="s">
        <v>4875</v>
      </c>
      <c r="F2682" s="1" t="s">
        <v>117</v>
      </c>
      <c r="G2682" s="1" t="str">
        <f>"11206730159"</f>
        <v>11206730159</v>
      </c>
      <c r="I2682" s="1" t="s">
        <v>192</v>
      </c>
      <c r="L2682" s="1" t="s">
        <v>44</v>
      </c>
      <c r="M2682" s="1" t="s">
        <v>5518</v>
      </c>
      <c r="AG2682" s="1" t="s">
        <v>5519</v>
      </c>
      <c r="AH2682" s="2">
        <v>45017</v>
      </c>
      <c r="AI2682" s="2">
        <v>45382</v>
      </c>
      <c r="AJ2682" s="2">
        <v>45017</v>
      </c>
    </row>
    <row r="2683" spans="1:36">
      <c r="A2683" s="1" t="str">
        <f>"9785607A59"</f>
        <v>9785607A59</v>
      </c>
      <c r="B2683" s="1" t="str">
        <f t="shared" si="63"/>
        <v>02406911202</v>
      </c>
      <c r="C2683" s="1" t="s">
        <v>13</v>
      </c>
      <c r="D2683" s="1" t="s">
        <v>37</v>
      </c>
      <c r="E2683" s="1" t="s">
        <v>4875</v>
      </c>
      <c r="F2683" s="1" t="s">
        <v>117</v>
      </c>
      <c r="G2683" s="1" t="str">
        <f>"00847380961"</f>
        <v>00847380961</v>
      </c>
      <c r="I2683" s="1" t="s">
        <v>1503</v>
      </c>
      <c r="L2683" s="1" t="s">
        <v>44</v>
      </c>
      <c r="M2683" s="1" t="s">
        <v>5520</v>
      </c>
      <c r="AG2683" s="1" t="s">
        <v>5521</v>
      </c>
      <c r="AH2683" s="2">
        <v>45017</v>
      </c>
      <c r="AI2683" s="2">
        <v>45382</v>
      </c>
      <c r="AJ2683" s="2">
        <v>45017</v>
      </c>
    </row>
    <row r="2684" spans="1:36">
      <c r="A2684" s="1" t="str">
        <f>"Z383ADF9B2"</f>
        <v>Z383ADF9B2</v>
      </c>
      <c r="B2684" s="1" t="str">
        <f t="shared" si="63"/>
        <v>02406911202</v>
      </c>
      <c r="C2684" s="1" t="s">
        <v>13</v>
      </c>
      <c r="D2684" s="1" t="s">
        <v>37</v>
      </c>
      <c r="E2684" s="1" t="s">
        <v>4875</v>
      </c>
      <c r="F2684" s="1" t="s">
        <v>117</v>
      </c>
      <c r="G2684" s="1" t="str">
        <f>"04888840487"</f>
        <v>04888840487</v>
      </c>
      <c r="I2684" s="1" t="s">
        <v>3293</v>
      </c>
      <c r="L2684" s="1" t="s">
        <v>44</v>
      </c>
      <c r="M2684" s="1" t="s">
        <v>5522</v>
      </c>
      <c r="AG2684" s="1" t="s">
        <v>124</v>
      </c>
      <c r="AH2684" s="2">
        <v>45017</v>
      </c>
      <c r="AI2684" s="2">
        <v>45382</v>
      </c>
      <c r="AJ2684" s="2">
        <v>45017</v>
      </c>
    </row>
    <row r="2685" spans="1:36">
      <c r="A2685" s="1" t="str">
        <f>"Z653ADFA0F"</f>
        <v>Z653ADFA0F</v>
      </c>
      <c r="B2685" s="1" t="str">
        <f t="shared" si="63"/>
        <v>02406911202</v>
      </c>
      <c r="C2685" s="1" t="s">
        <v>13</v>
      </c>
      <c r="D2685" s="1" t="s">
        <v>37</v>
      </c>
      <c r="E2685" s="1" t="s">
        <v>4875</v>
      </c>
      <c r="F2685" s="1" t="s">
        <v>117</v>
      </c>
      <c r="G2685" s="1" t="str">
        <f>"03896500489"</f>
        <v>03896500489</v>
      </c>
      <c r="I2685" s="1" t="s">
        <v>5523</v>
      </c>
      <c r="L2685" s="1" t="s">
        <v>44</v>
      </c>
      <c r="M2685" s="1" t="s">
        <v>5524</v>
      </c>
      <c r="AG2685" s="1" t="s">
        <v>124</v>
      </c>
      <c r="AH2685" s="2">
        <v>45017</v>
      </c>
      <c r="AI2685" s="2">
        <v>45382</v>
      </c>
      <c r="AJ2685" s="2">
        <v>45017</v>
      </c>
    </row>
    <row r="2686" spans="1:36">
      <c r="A2686" s="1" t="str">
        <f>"9787855975"</f>
        <v>9787855975</v>
      </c>
      <c r="B2686" s="1" t="str">
        <f t="shared" si="63"/>
        <v>02406911202</v>
      </c>
      <c r="C2686" s="1" t="s">
        <v>13</v>
      </c>
      <c r="D2686" s="1" t="s">
        <v>37</v>
      </c>
      <c r="E2686" s="1" t="s">
        <v>5033</v>
      </c>
      <c r="F2686" s="1" t="s">
        <v>39</v>
      </c>
      <c r="G2686" s="1" t="str">
        <f>"06032681006"</f>
        <v>06032681006</v>
      </c>
      <c r="I2686" s="1" t="s">
        <v>1351</v>
      </c>
      <c r="L2686" s="1" t="s">
        <v>44</v>
      </c>
      <c r="M2686" s="1" t="s">
        <v>5525</v>
      </c>
      <c r="AG2686" s="1" t="s">
        <v>5526</v>
      </c>
      <c r="AH2686" s="2">
        <v>45047</v>
      </c>
      <c r="AI2686" s="2">
        <v>45229</v>
      </c>
      <c r="AJ2686" s="2">
        <v>45047</v>
      </c>
    </row>
    <row r="2687" spans="1:36">
      <c r="A2687" s="1" t="str">
        <f>"ZA03B0148D"</f>
        <v>ZA03B0148D</v>
      </c>
      <c r="B2687" s="1" t="str">
        <f t="shared" si="63"/>
        <v>02406911202</v>
      </c>
      <c r="C2687" s="1" t="s">
        <v>13</v>
      </c>
      <c r="D2687" s="1" t="s">
        <v>205</v>
      </c>
      <c r="E2687" s="1" t="s">
        <v>5527</v>
      </c>
      <c r="F2687" s="1" t="s">
        <v>49</v>
      </c>
      <c r="G2687" s="1" t="str">
        <f>"01572351201"</f>
        <v>01572351201</v>
      </c>
      <c r="I2687" s="1" t="s">
        <v>5528</v>
      </c>
      <c r="L2687" s="1" t="s">
        <v>44</v>
      </c>
      <c r="M2687" s="1" t="s">
        <v>5529</v>
      </c>
      <c r="AG2687" s="1" t="s">
        <v>5530</v>
      </c>
      <c r="AH2687" s="2">
        <v>44927</v>
      </c>
      <c r="AI2687" s="2">
        <v>45291</v>
      </c>
      <c r="AJ2687" s="2">
        <v>44927</v>
      </c>
    </row>
    <row r="2688" spans="1:36">
      <c r="A2688" s="1" t="str">
        <f>"Z083B014C3"</f>
        <v>Z083B014C3</v>
      </c>
      <c r="B2688" s="1" t="str">
        <f t="shared" si="63"/>
        <v>02406911202</v>
      </c>
      <c r="C2688" s="1" t="s">
        <v>13</v>
      </c>
      <c r="D2688" s="1" t="s">
        <v>205</v>
      </c>
      <c r="E2688" s="1" t="s">
        <v>5531</v>
      </c>
      <c r="F2688" s="1" t="s">
        <v>49</v>
      </c>
      <c r="G2688" s="1" t="str">
        <f>"03554301204"</f>
        <v>03554301204</v>
      </c>
      <c r="I2688" s="1" t="s">
        <v>5532</v>
      </c>
      <c r="L2688" s="1" t="s">
        <v>44</v>
      </c>
      <c r="M2688" s="1" t="s">
        <v>5533</v>
      </c>
      <c r="AG2688" s="1" t="s">
        <v>5534</v>
      </c>
      <c r="AH2688" s="2">
        <v>44927</v>
      </c>
      <c r="AI2688" s="2">
        <v>45291</v>
      </c>
      <c r="AJ2688" s="2">
        <v>44927</v>
      </c>
    </row>
    <row r="2689" spans="1:36">
      <c r="A2689" s="1" t="str">
        <f>"Z243B03DA5"</f>
        <v>Z243B03DA5</v>
      </c>
      <c r="B2689" s="1" t="str">
        <f t="shared" si="63"/>
        <v>02406911202</v>
      </c>
      <c r="C2689" s="1" t="s">
        <v>13</v>
      </c>
      <c r="D2689" s="1" t="s">
        <v>1312</v>
      </c>
      <c r="E2689" s="1" t="s">
        <v>5535</v>
      </c>
      <c r="F2689" s="1" t="s">
        <v>49</v>
      </c>
      <c r="G2689" s="1" t="str">
        <f>"02796211205"</f>
        <v>02796211205</v>
      </c>
      <c r="I2689" s="1" t="s">
        <v>5536</v>
      </c>
      <c r="L2689" s="1" t="s">
        <v>44</v>
      </c>
      <c r="M2689" s="1" t="s">
        <v>5537</v>
      </c>
      <c r="AG2689" s="1" t="s">
        <v>124</v>
      </c>
      <c r="AH2689" s="2">
        <v>45050</v>
      </c>
      <c r="AI2689" s="2">
        <v>45291</v>
      </c>
      <c r="AJ2689" s="2">
        <v>45050</v>
      </c>
    </row>
    <row r="2690" spans="1:36">
      <c r="A2690" s="1" t="str">
        <f>"Z093B04418"</f>
        <v>Z093B04418</v>
      </c>
      <c r="B2690" s="1" t="str">
        <f t="shared" si="63"/>
        <v>02406911202</v>
      </c>
      <c r="C2690" s="1" t="s">
        <v>13</v>
      </c>
      <c r="D2690" s="1" t="s">
        <v>1253</v>
      </c>
      <c r="E2690" s="1" t="s">
        <v>1260</v>
      </c>
      <c r="F2690" s="1" t="s">
        <v>49</v>
      </c>
      <c r="G2690" s="1" t="str">
        <f>"06032681006"</f>
        <v>06032681006</v>
      </c>
      <c r="I2690" s="1" t="s">
        <v>1351</v>
      </c>
      <c r="L2690" s="1" t="s">
        <v>44</v>
      </c>
      <c r="M2690" s="1" t="s">
        <v>1255</v>
      </c>
      <c r="AG2690" s="1" t="s">
        <v>5538</v>
      </c>
      <c r="AH2690" s="2">
        <v>45050</v>
      </c>
      <c r="AI2690" s="2">
        <v>45291</v>
      </c>
      <c r="AJ2690" s="2">
        <v>45050</v>
      </c>
    </row>
    <row r="2691" spans="1:36">
      <c r="A2691" s="1" t="str">
        <f>"ZA93B123A0"</f>
        <v>ZA93B123A0</v>
      </c>
      <c r="B2691" s="1" t="str">
        <f t="shared" si="63"/>
        <v>02406911202</v>
      </c>
      <c r="C2691" s="1" t="s">
        <v>13</v>
      </c>
      <c r="D2691" s="1" t="s">
        <v>205</v>
      </c>
      <c r="E2691" s="1" t="s">
        <v>5539</v>
      </c>
      <c r="F2691" s="1" t="s">
        <v>49</v>
      </c>
      <c r="G2691" s="1" t="str">
        <f>"00273721209"</f>
        <v>00273721209</v>
      </c>
      <c r="I2691" s="1" t="s">
        <v>5540</v>
      </c>
      <c r="L2691" s="1" t="s">
        <v>44</v>
      </c>
      <c r="M2691" s="1" t="s">
        <v>5541</v>
      </c>
      <c r="AG2691" s="1" t="s">
        <v>5542</v>
      </c>
      <c r="AH2691" s="2">
        <v>44927</v>
      </c>
      <c r="AI2691" s="2">
        <v>45291</v>
      </c>
      <c r="AJ2691" s="2">
        <v>44927</v>
      </c>
    </row>
    <row r="2692" spans="1:36">
      <c r="A2692" s="1" t="str">
        <f>"Z3E3B12433"</f>
        <v>Z3E3B12433</v>
      </c>
      <c r="B2692" s="1" t="str">
        <f t="shared" si="63"/>
        <v>02406911202</v>
      </c>
      <c r="C2692" s="1" t="s">
        <v>13</v>
      </c>
      <c r="D2692" s="1" t="s">
        <v>205</v>
      </c>
      <c r="E2692" s="1" t="s">
        <v>5543</v>
      </c>
      <c r="F2692" s="1" t="s">
        <v>49</v>
      </c>
      <c r="G2692" s="1" t="str">
        <f>"02218391205"</f>
        <v>02218391205</v>
      </c>
      <c r="I2692" s="1" t="s">
        <v>5544</v>
      </c>
      <c r="L2692" s="1" t="s">
        <v>44</v>
      </c>
      <c r="M2692" s="1" t="s">
        <v>5545</v>
      </c>
      <c r="AG2692" s="1" t="s">
        <v>5546</v>
      </c>
      <c r="AH2692" s="2">
        <v>44927</v>
      </c>
      <c r="AI2692" s="2">
        <v>45291</v>
      </c>
      <c r="AJ2692" s="2">
        <v>44927</v>
      </c>
    </row>
    <row r="2693" spans="1:36">
      <c r="A2693" s="1" t="str">
        <f>"ZA03B12810"</f>
        <v>ZA03B12810</v>
      </c>
      <c r="B2693" s="1" t="str">
        <f t="shared" si="63"/>
        <v>02406911202</v>
      </c>
      <c r="C2693" s="1" t="s">
        <v>13</v>
      </c>
      <c r="D2693" s="1" t="s">
        <v>205</v>
      </c>
      <c r="E2693" s="1" t="s">
        <v>5547</v>
      </c>
      <c r="F2693" s="1" t="s">
        <v>49</v>
      </c>
      <c r="G2693" s="1" t="str">
        <f>"00418651204"</f>
        <v>00418651204</v>
      </c>
      <c r="I2693" s="1" t="s">
        <v>5548</v>
      </c>
      <c r="L2693" s="1" t="s">
        <v>44</v>
      </c>
      <c r="M2693" s="1" t="s">
        <v>4180</v>
      </c>
      <c r="AG2693" s="1" t="s">
        <v>5549</v>
      </c>
      <c r="AH2693" s="2">
        <v>44927</v>
      </c>
      <c r="AI2693" s="2">
        <v>45291</v>
      </c>
      <c r="AJ2693" s="2">
        <v>44927</v>
      </c>
    </row>
    <row r="2694" spans="1:36">
      <c r="A2694" s="1" t="str">
        <f>"9818571D19"</f>
        <v>9818571D19</v>
      </c>
      <c r="B2694" s="1" t="str">
        <f t="shared" ref="B2694:B2757" si="64">"02406911202"</f>
        <v>02406911202</v>
      </c>
      <c r="C2694" s="1" t="s">
        <v>13</v>
      </c>
      <c r="D2694" s="1" t="s">
        <v>1253</v>
      </c>
      <c r="E2694" s="1" t="s">
        <v>1260</v>
      </c>
      <c r="F2694" s="1" t="s">
        <v>49</v>
      </c>
      <c r="G2694" s="1" t="str">
        <f>"01975020130"</f>
        <v>01975020130</v>
      </c>
      <c r="I2694" s="1" t="s">
        <v>1737</v>
      </c>
      <c r="L2694" s="1" t="s">
        <v>44</v>
      </c>
      <c r="M2694" s="1" t="s">
        <v>2849</v>
      </c>
      <c r="AG2694" s="1" t="s">
        <v>5550</v>
      </c>
      <c r="AH2694" s="2">
        <v>45057</v>
      </c>
      <c r="AI2694" s="2">
        <v>45291</v>
      </c>
      <c r="AJ2694" s="2">
        <v>45057</v>
      </c>
    </row>
    <row r="2695" spans="1:36">
      <c r="A2695" s="1" t="str">
        <f>"979803496F"</f>
        <v>979803496F</v>
      </c>
      <c r="B2695" s="1" t="str">
        <f t="shared" si="64"/>
        <v>02406911202</v>
      </c>
      <c r="C2695" s="1" t="s">
        <v>13</v>
      </c>
      <c r="D2695" s="1" t="s">
        <v>1312</v>
      </c>
      <c r="E2695" s="1" t="s">
        <v>5551</v>
      </c>
      <c r="F2695" s="1" t="s">
        <v>49</v>
      </c>
      <c r="G2695" s="1" t="str">
        <f>"00673881207"</f>
        <v>00673881207</v>
      </c>
      <c r="I2695" s="1" t="s">
        <v>1310</v>
      </c>
      <c r="L2695" s="1" t="s">
        <v>44</v>
      </c>
      <c r="M2695" s="1" t="s">
        <v>5552</v>
      </c>
      <c r="AG2695" s="1" t="s">
        <v>5553</v>
      </c>
      <c r="AH2695" s="2">
        <v>45057</v>
      </c>
      <c r="AI2695" s="2">
        <v>45808</v>
      </c>
      <c r="AJ2695" s="2">
        <v>45057</v>
      </c>
    </row>
    <row r="2696" spans="1:36">
      <c r="A2696" s="1" t="str">
        <f>"Z153B29592"</f>
        <v>Z153B29592</v>
      </c>
      <c r="B2696" s="1" t="str">
        <f t="shared" si="64"/>
        <v>02406911202</v>
      </c>
      <c r="C2696" s="1" t="s">
        <v>13</v>
      </c>
      <c r="D2696" s="1" t="s">
        <v>1253</v>
      </c>
      <c r="E2696" s="1" t="s">
        <v>5554</v>
      </c>
      <c r="F2696" s="1" t="s">
        <v>49</v>
      </c>
      <c r="G2696" s="1" t="str">
        <f>"06111530637"</f>
        <v>06111530637</v>
      </c>
      <c r="I2696" s="1" t="s">
        <v>1963</v>
      </c>
      <c r="L2696" s="1" t="s">
        <v>44</v>
      </c>
      <c r="M2696" s="1" t="s">
        <v>153</v>
      </c>
      <c r="AG2696" s="1" t="s">
        <v>5555</v>
      </c>
      <c r="AH2696" s="2">
        <v>45061</v>
      </c>
      <c r="AI2696" s="2">
        <v>45291</v>
      </c>
      <c r="AJ2696" s="2">
        <v>45061</v>
      </c>
    </row>
    <row r="2697" spans="1:36">
      <c r="A2697" s="1" t="str">
        <f>"Z0C3B2EB63"</f>
        <v>Z0C3B2EB63</v>
      </c>
      <c r="B2697" s="1" t="str">
        <f t="shared" si="64"/>
        <v>02406911202</v>
      </c>
      <c r="C2697" s="1" t="s">
        <v>13</v>
      </c>
      <c r="D2697" s="1" t="s">
        <v>205</v>
      </c>
      <c r="E2697" s="1" t="s">
        <v>5556</v>
      </c>
      <c r="F2697" s="1" t="s">
        <v>49</v>
      </c>
      <c r="G2697" s="1" t="str">
        <f>"03666281203"</f>
        <v>03666281203</v>
      </c>
      <c r="I2697" s="1" t="s">
        <v>5557</v>
      </c>
      <c r="L2697" s="1" t="s">
        <v>44</v>
      </c>
      <c r="M2697" s="1" t="s">
        <v>5558</v>
      </c>
      <c r="AG2697" s="1" t="s">
        <v>5559</v>
      </c>
      <c r="AH2697" s="2">
        <v>44927</v>
      </c>
      <c r="AI2697" s="2">
        <v>45291</v>
      </c>
      <c r="AJ2697" s="2">
        <v>44927</v>
      </c>
    </row>
    <row r="2698" spans="1:36">
      <c r="A2698" s="1" t="str">
        <f>"ZA43B1F223"</f>
        <v>ZA43B1F223</v>
      </c>
      <c r="B2698" s="1" t="str">
        <f t="shared" si="64"/>
        <v>02406911202</v>
      </c>
      <c r="C2698" s="1" t="s">
        <v>13</v>
      </c>
      <c r="D2698" s="1" t="s">
        <v>1253</v>
      </c>
      <c r="E2698" s="1" t="s">
        <v>1317</v>
      </c>
      <c r="F2698" s="1" t="s">
        <v>49</v>
      </c>
      <c r="G2698" s="1" t="str">
        <f>"00457930428"</f>
        <v>00457930428</v>
      </c>
      <c r="I2698" s="1" t="s">
        <v>1400</v>
      </c>
      <c r="L2698" s="1" t="s">
        <v>44</v>
      </c>
      <c r="M2698" s="1" t="s">
        <v>1255</v>
      </c>
      <c r="AG2698" s="1" t="s">
        <v>5560</v>
      </c>
      <c r="AH2698" s="2">
        <v>45062</v>
      </c>
      <c r="AI2698" s="2">
        <v>45291</v>
      </c>
      <c r="AJ2698" s="2">
        <v>45062</v>
      </c>
    </row>
    <row r="2699" spans="1:36">
      <c r="A2699" s="1" t="str">
        <f>"Z0C3B2F531"</f>
        <v>Z0C3B2F531</v>
      </c>
      <c r="B2699" s="1" t="str">
        <f t="shared" si="64"/>
        <v>02406911202</v>
      </c>
      <c r="C2699" s="1" t="s">
        <v>13</v>
      </c>
      <c r="D2699" s="1" t="s">
        <v>205</v>
      </c>
      <c r="E2699" s="1" t="s">
        <v>5561</v>
      </c>
      <c r="F2699" s="1" t="s">
        <v>49</v>
      </c>
      <c r="G2699" s="1" t="str">
        <f>"03310131200"</f>
        <v>03310131200</v>
      </c>
      <c r="I2699" s="1" t="s">
        <v>5562</v>
      </c>
      <c r="L2699" s="1" t="s">
        <v>44</v>
      </c>
      <c r="M2699" s="1" t="s">
        <v>5563</v>
      </c>
      <c r="AG2699" s="1" t="s">
        <v>124</v>
      </c>
      <c r="AH2699" s="2">
        <v>44927</v>
      </c>
      <c r="AI2699" s="2">
        <v>45291</v>
      </c>
      <c r="AJ2699" s="2">
        <v>44927</v>
      </c>
    </row>
    <row r="2700" spans="1:36">
      <c r="A2700" s="1" t="str">
        <f>"Z703B2F5AC"</f>
        <v>Z703B2F5AC</v>
      </c>
      <c r="B2700" s="1" t="str">
        <f t="shared" si="64"/>
        <v>02406911202</v>
      </c>
      <c r="C2700" s="1" t="s">
        <v>13</v>
      </c>
      <c r="D2700" s="1" t="s">
        <v>205</v>
      </c>
      <c r="E2700" s="1" t="s">
        <v>5564</v>
      </c>
      <c r="F2700" s="1" t="s">
        <v>49</v>
      </c>
      <c r="G2700" s="1" t="str">
        <f>"03336801208"</f>
        <v>03336801208</v>
      </c>
      <c r="I2700" s="1" t="s">
        <v>5565</v>
      </c>
      <c r="L2700" s="1" t="s">
        <v>44</v>
      </c>
      <c r="M2700" s="1" t="s">
        <v>5566</v>
      </c>
      <c r="AG2700" s="1" t="s">
        <v>5567</v>
      </c>
      <c r="AH2700" s="2">
        <v>44927</v>
      </c>
      <c r="AI2700" s="2">
        <v>45291</v>
      </c>
      <c r="AJ2700" s="2">
        <v>44927</v>
      </c>
    </row>
    <row r="2701" spans="1:36">
      <c r="A2701" s="1" t="str">
        <f>"Z203B2F6A9"</f>
        <v>Z203B2F6A9</v>
      </c>
      <c r="B2701" s="1" t="str">
        <f t="shared" si="64"/>
        <v>02406911202</v>
      </c>
      <c r="C2701" s="1" t="s">
        <v>13</v>
      </c>
      <c r="D2701" s="1" t="s">
        <v>1312</v>
      </c>
      <c r="E2701" s="1" t="s">
        <v>1390</v>
      </c>
      <c r="F2701" s="1" t="s">
        <v>49</v>
      </c>
      <c r="G2701" s="1" t="str">
        <f>"00549731206"</f>
        <v>00549731206</v>
      </c>
      <c r="I2701" s="1" t="s">
        <v>1391</v>
      </c>
      <c r="L2701" s="1" t="s">
        <v>44</v>
      </c>
      <c r="M2701" s="1" t="s">
        <v>1314</v>
      </c>
      <c r="AG2701" s="1" t="s">
        <v>5568</v>
      </c>
      <c r="AH2701" s="2">
        <v>45062</v>
      </c>
      <c r="AI2701" s="2">
        <v>46022</v>
      </c>
      <c r="AJ2701" s="2">
        <v>45062</v>
      </c>
    </row>
    <row r="2702" spans="1:36">
      <c r="A2702" s="1" t="str">
        <f>"ZB03B2FE19"</f>
        <v>ZB03B2FE19</v>
      </c>
      <c r="B2702" s="1" t="str">
        <f t="shared" si="64"/>
        <v>02406911202</v>
      </c>
      <c r="C2702" s="1" t="s">
        <v>13</v>
      </c>
      <c r="D2702" s="1" t="s">
        <v>205</v>
      </c>
      <c r="E2702" s="1" t="s">
        <v>5569</v>
      </c>
      <c r="F2702" s="1" t="s">
        <v>49</v>
      </c>
      <c r="G2702" s="1" t="str">
        <f>"03736251202"</f>
        <v>03736251202</v>
      </c>
      <c r="I2702" s="1" t="s">
        <v>5570</v>
      </c>
      <c r="L2702" s="1" t="s">
        <v>44</v>
      </c>
      <c r="M2702" s="1" t="s">
        <v>5571</v>
      </c>
      <c r="AG2702" s="1" t="s">
        <v>5572</v>
      </c>
      <c r="AH2702" s="2">
        <v>44927</v>
      </c>
      <c r="AI2702" s="2">
        <v>45291</v>
      </c>
      <c r="AJ2702" s="2">
        <v>44927</v>
      </c>
    </row>
    <row r="2703" spans="1:36">
      <c r="A2703" s="1" t="str">
        <f>"ZB33B37395"</f>
        <v>ZB33B37395</v>
      </c>
      <c r="B2703" s="1" t="str">
        <f t="shared" si="64"/>
        <v>02406911202</v>
      </c>
      <c r="C2703" s="1" t="s">
        <v>13</v>
      </c>
      <c r="D2703" s="1" t="s">
        <v>1253</v>
      </c>
      <c r="E2703" s="1" t="s">
        <v>1270</v>
      </c>
      <c r="F2703" s="1" t="s">
        <v>49</v>
      </c>
      <c r="G2703" s="1" t="str">
        <f>"08056320156"</f>
        <v>08056320156</v>
      </c>
      <c r="I2703" s="1" t="s">
        <v>5573</v>
      </c>
      <c r="L2703" s="1" t="s">
        <v>44</v>
      </c>
      <c r="M2703" s="1" t="s">
        <v>153</v>
      </c>
      <c r="AG2703" s="1" t="s">
        <v>124</v>
      </c>
      <c r="AH2703" s="2">
        <v>45064</v>
      </c>
      <c r="AI2703" s="2">
        <v>45291</v>
      </c>
      <c r="AJ2703" s="2">
        <v>45064</v>
      </c>
    </row>
    <row r="2704" spans="1:36">
      <c r="A2704" s="1" t="str">
        <f>"Z7B3B42A8B"</f>
        <v>Z7B3B42A8B</v>
      </c>
      <c r="B2704" s="1" t="str">
        <f t="shared" si="64"/>
        <v>02406911202</v>
      </c>
      <c r="C2704" s="1" t="s">
        <v>13</v>
      </c>
      <c r="D2704" s="1" t="s">
        <v>1312</v>
      </c>
      <c r="E2704" s="1" t="s">
        <v>5574</v>
      </c>
      <c r="F2704" s="1" t="s">
        <v>49</v>
      </c>
      <c r="G2704" s="1" t="str">
        <f>"01620830347"</f>
        <v>01620830347</v>
      </c>
      <c r="I2704" s="1" t="s">
        <v>2149</v>
      </c>
      <c r="L2704" s="1" t="s">
        <v>44</v>
      </c>
      <c r="M2704" s="1" t="s">
        <v>1314</v>
      </c>
      <c r="AG2704" s="1" t="s">
        <v>5575</v>
      </c>
      <c r="AH2704" s="2">
        <v>45068</v>
      </c>
      <c r="AI2704" s="2">
        <v>46022</v>
      </c>
      <c r="AJ2704" s="2">
        <v>45068</v>
      </c>
    </row>
    <row r="2705" spans="1:36">
      <c r="A2705" s="1" t="str">
        <f>"Z103B442A6"</f>
        <v>Z103B442A6</v>
      </c>
      <c r="B2705" s="1" t="str">
        <f t="shared" si="64"/>
        <v>02406911202</v>
      </c>
      <c r="C2705" s="1" t="s">
        <v>13</v>
      </c>
      <c r="D2705" s="1" t="s">
        <v>1253</v>
      </c>
      <c r="E2705" s="1" t="s">
        <v>1262</v>
      </c>
      <c r="F2705" s="1" t="s">
        <v>49</v>
      </c>
      <c r="G2705" s="1" t="str">
        <f>"00803890151"</f>
        <v>00803890151</v>
      </c>
      <c r="I2705" s="1" t="s">
        <v>68</v>
      </c>
      <c r="L2705" s="1" t="s">
        <v>44</v>
      </c>
      <c r="M2705" s="1" t="s">
        <v>1255</v>
      </c>
      <c r="AG2705" s="1" t="s">
        <v>5576</v>
      </c>
      <c r="AH2705" s="2">
        <v>45069</v>
      </c>
      <c r="AI2705" s="2">
        <v>45291</v>
      </c>
      <c r="AJ2705" s="2">
        <v>45069</v>
      </c>
    </row>
    <row r="2706" spans="1:36">
      <c r="A2706" s="1" t="str">
        <f>"Z6C3ABE692"</f>
        <v>Z6C3ABE692</v>
      </c>
      <c r="B2706" s="1" t="str">
        <f t="shared" si="64"/>
        <v>02406911202</v>
      </c>
      <c r="C2706" s="1" t="s">
        <v>13</v>
      </c>
      <c r="D2706" s="1" t="s">
        <v>1253</v>
      </c>
      <c r="E2706" s="1" t="s">
        <v>1262</v>
      </c>
      <c r="F2706" s="1" t="s">
        <v>49</v>
      </c>
      <c r="G2706" s="1" t="str">
        <f>"00747170157"</f>
        <v>00747170157</v>
      </c>
      <c r="I2706" s="1" t="s">
        <v>2051</v>
      </c>
      <c r="L2706" s="1" t="s">
        <v>44</v>
      </c>
      <c r="M2706" s="1" t="s">
        <v>1255</v>
      </c>
      <c r="AG2706" s="1" t="s">
        <v>5577</v>
      </c>
      <c r="AH2706" s="2">
        <v>45028</v>
      </c>
      <c r="AI2706" s="2">
        <v>45291</v>
      </c>
      <c r="AJ2706" s="2">
        <v>45028</v>
      </c>
    </row>
    <row r="2707" spans="1:36">
      <c r="A2707" s="1" t="str">
        <f>"Z653A5AA71"</f>
        <v>Z653A5AA71</v>
      </c>
      <c r="B2707" s="1" t="str">
        <f t="shared" si="64"/>
        <v>02406911202</v>
      </c>
      <c r="C2707" s="1" t="s">
        <v>13</v>
      </c>
      <c r="D2707" s="1" t="s">
        <v>1257</v>
      </c>
      <c r="E2707" s="1" t="s">
        <v>5578</v>
      </c>
      <c r="F2707" s="1" t="s">
        <v>49</v>
      </c>
      <c r="G2707" s="1" t="str">
        <f>"12435741009"</f>
        <v>12435741009</v>
      </c>
      <c r="I2707" s="1" t="s">
        <v>5579</v>
      </c>
      <c r="L2707" s="1" t="s">
        <v>44</v>
      </c>
      <c r="M2707" s="1" t="s">
        <v>163</v>
      </c>
      <c r="AG2707" s="1" t="s">
        <v>5580</v>
      </c>
      <c r="AH2707" s="2">
        <v>45023</v>
      </c>
      <c r="AI2707" s="2">
        <v>45388</v>
      </c>
      <c r="AJ2707" s="2">
        <v>45023</v>
      </c>
    </row>
    <row r="2708" spans="1:36">
      <c r="A2708" s="1" t="str">
        <f>"Z653A5AA71"</f>
        <v>Z653A5AA71</v>
      </c>
      <c r="B2708" s="1" t="str">
        <f t="shared" si="64"/>
        <v>02406911202</v>
      </c>
      <c r="C2708" s="1" t="s">
        <v>13</v>
      </c>
      <c r="D2708" s="1" t="s">
        <v>1257</v>
      </c>
      <c r="E2708" s="1" t="s">
        <v>5578</v>
      </c>
      <c r="F2708" s="1" t="s">
        <v>49</v>
      </c>
      <c r="G2708" s="1" t="str">
        <f>"04823140266"</f>
        <v>04823140266</v>
      </c>
      <c r="I2708" s="1" t="s">
        <v>1277</v>
      </c>
      <c r="L2708" s="1" t="s">
        <v>41</v>
      </c>
      <c r="AJ2708" s="2">
        <v>45023</v>
      </c>
    </row>
    <row r="2709" spans="1:36">
      <c r="A2709" s="1" t="str">
        <f>"9786401994"</f>
        <v>9786401994</v>
      </c>
      <c r="B2709" s="1" t="str">
        <f t="shared" si="64"/>
        <v>02406911202</v>
      </c>
      <c r="C2709" s="1" t="s">
        <v>13</v>
      </c>
      <c r="D2709" s="1" t="s">
        <v>1312</v>
      </c>
      <c r="E2709" s="1" t="s">
        <v>5581</v>
      </c>
      <c r="F2709" s="1" t="s">
        <v>49</v>
      </c>
      <c r="G2709" s="1" t="str">
        <f>"11160660152"</f>
        <v>11160660152</v>
      </c>
      <c r="I2709" s="1" t="s">
        <v>306</v>
      </c>
      <c r="L2709" s="1" t="s">
        <v>44</v>
      </c>
      <c r="M2709" s="1" t="s">
        <v>5582</v>
      </c>
      <c r="AG2709" s="1" t="s">
        <v>5583</v>
      </c>
      <c r="AH2709" s="2">
        <v>45049</v>
      </c>
      <c r="AI2709" s="2">
        <v>45138</v>
      </c>
      <c r="AJ2709" s="2">
        <v>45049</v>
      </c>
    </row>
    <row r="2710" spans="1:36">
      <c r="A2710" s="1" t="str">
        <f>"Z6E3B00618"</f>
        <v>Z6E3B00618</v>
      </c>
      <c r="B2710" s="1" t="str">
        <f t="shared" si="64"/>
        <v>02406911202</v>
      </c>
      <c r="C2710" s="1" t="s">
        <v>13</v>
      </c>
      <c r="D2710" s="1" t="s">
        <v>205</v>
      </c>
      <c r="E2710" s="1" t="s">
        <v>5584</v>
      </c>
      <c r="F2710" s="1" t="s">
        <v>49</v>
      </c>
      <c r="G2710" s="1" t="str">
        <f>"03571521206"</f>
        <v>03571521206</v>
      </c>
      <c r="I2710" s="1" t="s">
        <v>5585</v>
      </c>
      <c r="L2710" s="1" t="s">
        <v>44</v>
      </c>
      <c r="M2710" s="1" t="s">
        <v>5586</v>
      </c>
      <c r="AG2710" s="1" t="s">
        <v>5586</v>
      </c>
      <c r="AH2710" s="2">
        <v>45049</v>
      </c>
      <c r="AI2710" s="2">
        <v>45291</v>
      </c>
      <c r="AJ2710" s="2">
        <v>45049</v>
      </c>
    </row>
    <row r="2711" spans="1:36">
      <c r="A2711" s="1" t="str">
        <f>"ZF33B07A57"</f>
        <v>ZF33B07A57</v>
      </c>
      <c r="B2711" s="1" t="str">
        <f t="shared" si="64"/>
        <v>02406911202</v>
      </c>
      <c r="C2711" s="1" t="s">
        <v>13</v>
      </c>
      <c r="D2711" s="1" t="s">
        <v>1253</v>
      </c>
      <c r="E2711" s="1" t="s">
        <v>1387</v>
      </c>
      <c r="F2711" s="1" t="s">
        <v>49</v>
      </c>
      <c r="G2711" s="1" t="str">
        <f>"02457060032"</f>
        <v>02457060032</v>
      </c>
      <c r="I2711" s="1" t="s">
        <v>1263</v>
      </c>
      <c r="L2711" s="1" t="s">
        <v>44</v>
      </c>
      <c r="M2711" s="1" t="s">
        <v>1255</v>
      </c>
      <c r="AG2711" s="1" t="s">
        <v>5587</v>
      </c>
      <c r="AH2711" s="2">
        <v>45051</v>
      </c>
      <c r="AI2711" s="2">
        <v>45291</v>
      </c>
      <c r="AJ2711" s="2">
        <v>45051</v>
      </c>
    </row>
    <row r="2712" spans="1:36">
      <c r="A2712" s="1" t="str">
        <f>"ZDD3B08FDD"</f>
        <v>ZDD3B08FDD</v>
      </c>
      <c r="B2712" s="1" t="str">
        <f t="shared" si="64"/>
        <v>02406911202</v>
      </c>
      <c r="C2712" s="1" t="s">
        <v>13</v>
      </c>
      <c r="D2712" s="1" t="s">
        <v>1253</v>
      </c>
      <c r="E2712" s="1" t="s">
        <v>1254</v>
      </c>
      <c r="F2712" s="1" t="s">
        <v>49</v>
      </c>
      <c r="G2712" s="1" t="str">
        <f>"00803890151"</f>
        <v>00803890151</v>
      </c>
      <c r="I2712" s="1" t="s">
        <v>68</v>
      </c>
      <c r="L2712" s="1" t="s">
        <v>44</v>
      </c>
      <c r="M2712" s="1" t="s">
        <v>1255</v>
      </c>
      <c r="AG2712" s="1" t="s">
        <v>5588</v>
      </c>
      <c r="AH2712" s="2">
        <v>45051</v>
      </c>
      <c r="AI2712" s="2">
        <v>45291</v>
      </c>
      <c r="AJ2712" s="2">
        <v>45051</v>
      </c>
    </row>
    <row r="2713" spans="1:36">
      <c r="A2713" s="1" t="str">
        <f>"Z563AF04A0"</f>
        <v>Z563AF04A0</v>
      </c>
      <c r="B2713" s="1" t="str">
        <f t="shared" si="64"/>
        <v>02406911202</v>
      </c>
      <c r="C2713" s="1" t="s">
        <v>13</v>
      </c>
      <c r="D2713" s="1" t="s">
        <v>37</v>
      </c>
      <c r="E2713" s="1" t="s">
        <v>5589</v>
      </c>
      <c r="F2713" s="1" t="s">
        <v>39</v>
      </c>
      <c r="G2713" s="1" t="str">
        <f>"02119100358"</f>
        <v>02119100358</v>
      </c>
      <c r="I2713" s="1" t="s">
        <v>5590</v>
      </c>
      <c r="L2713" s="1" t="s">
        <v>44</v>
      </c>
      <c r="M2713" s="1" t="s">
        <v>708</v>
      </c>
      <c r="AG2713" s="1" t="s">
        <v>708</v>
      </c>
      <c r="AH2713" s="2">
        <v>45043</v>
      </c>
      <c r="AI2713" s="2">
        <v>45291</v>
      </c>
      <c r="AJ2713" s="2">
        <v>45043</v>
      </c>
    </row>
    <row r="2714" spans="1:36">
      <c r="A2714" s="1" t="str">
        <f>"974639104B"</f>
        <v>974639104B</v>
      </c>
      <c r="B2714" s="1" t="str">
        <f t="shared" si="64"/>
        <v>02406911202</v>
      </c>
      <c r="C2714" s="1" t="s">
        <v>13</v>
      </c>
      <c r="D2714" s="1" t="s">
        <v>37</v>
      </c>
      <c r="E2714" s="1" t="s">
        <v>5591</v>
      </c>
      <c r="F2714" s="1" t="s">
        <v>117</v>
      </c>
      <c r="G2714" s="1" t="str">
        <f>"05994810488"</f>
        <v>05994810488</v>
      </c>
      <c r="I2714" s="1" t="s">
        <v>3216</v>
      </c>
      <c r="L2714" s="1" t="s">
        <v>44</v>
      </c>
      <c r="M2714" s="1" t="s">
        <v>5592</v>
      </c>
      <c r="AG2714" s="1" t="s">
        <v>124</v>
      </c>
      <c r="AH2714" s="2">
        <v>45017</v>
      </c>
      <c r="AI2714" s="2">
        <v>45291</v>
      </c>
      <c r="AJ2714" s="2">
        <v>45017</v>
      </c>
    </row>
    <row r="2715" spans="1:36">
      <c r="A2715" s="1" t="str">
        <f>"Z0A3B18BD7"</f>
        <v>Z0A3B18BD7</v>
      </c>
      <c r="B2715" s="1" t="str">
        <f t="shared" si="64"/>
        <v>02406911202</v>
      </c>
      <c r="C2715" s="1" t="s">
        <v>13</v>
      </c>
      <c r="D2715" s="1" t="s">
        <v>1312</v>
      </c>
      <c r="E2715" s="1" t="s">
        <v>5593</v>
      </c>
      <c r="F2715" s="1" t="s">
        <v>49</v>
      </c>
      <c r="G2715" s="1" t="str">
        <f>"02442650541"</f>
        <v>02442650541</v>
      </c>
      <c r="I2715" s="1" t="s">
        <v>5594</v>
      </c>
      <c r="L2715" s="1" t="s">
        <v>44</v>
      </c>
      <c r="M2715" s="1" t="s">
        <v>5595</v>
      </c>
      <c r="AG2715" s="1" t="s">
        <v>124</v>
      </c>
      <c r="AH2715" s="2">
        <v>45056</v>
      </c>
      <c r="AI2715" s="2">
        <v>45291</v>
      </c>
      <c r="AJ2715" s="2">
        <v>45056</v>
      </c>
    </row>
    <row r="2716" spans="1:36">
      <c r="A2716" s="1" t="str">
        <f>"Z213B27873"</f>
        <v>Z213B27873</v>
      </c>
      <c r="B2716" s="1" t="str">
        <f t="shared" si="64"/>
        <v>02406911202</v>
      </c>
      <c r="C2716" s="1" t="s">
        <v>13</v>
      </c>
      <c r="D2716" s="1" t="s">
        <v>1312</v>
      </c>
      <c r="E2716" s="1" t="s">
        <v>5596</v>
      </c>
      <c r="F2716" s="1" t="s">
        <v>49</v>
      </c>
      <c r="G2716" s="1" t="str">
        <f>"01865630287"</f>
        <v>01865630287</v>
      </c>
      <c r="I2716" s="1" t="s">
        <v>3155</v>
      </c>
      <c r="L2716" s="1" t="s">
        <v>44</v>
      </c>
      <c r="M2716" s="1" t="s">
        <v>1314</v>
      </c>
      <c r="AG2716" s="1" t="s">
        <v>5597</v>
      </c>
      <c r="AH2716" s="2">
        <v>45061</v>
      </c>
      <c r="AI2716" s="2">
        <v>46022</v>
      </c>
      <c r="AJ2716" s="2">
        <v>45061</v>
      </c>
    </row>
    <row r="2717" spans="1:36">
      <c r="A2717" s="1" t="str">
        <f>"Z2F3B41AF6"</f>
        <v>Z2F3B41AF6</v>
      </c>
      <c r="B2717" s="1" t="str">
        <f t="shared" si="64"/>
        <v>02406911202</v>
      </c>
      <c r="C2717" s="1" t="s">
        <v>13</v>
      </c>
      <c r="D2717" s="1" t="s">
        <v>1253</v>
      </c>
      <c r="E2717" s="1" t="s">
        <v>3210</v>
      </c>
      <c r="F2717" s="1" t="s">
        <v>49</v>
      </c>
      <c r="G2717" s="1" t="str">
        <f>"11654150157"</f>
        <v>11654150157</v>
      </c>
      <c r="I2717" s="1" t="s">
        <v>1468</v>
      </c>
      <c r="L2717" s="1" t="s">
        <v>44</v>
      </c>
      <c r="M2717" s="1" t="s">
        <v>1255</v>
      </c>
      <c r="AG2717" s="1" t="s">
        <v>5598</v>
      </c>
      <c r="AH2717" s="2">
        <v>45068</v>
      </c>
      <c r="AI2717" s="2">
        <v>45291</v>
      </c>
      <c r="AJ2717" s="2">
        <v>45068</v>
      </c>
    </row>
    <row r="2718" spans="1:36">
      <c r="A2718" s="1" t="str">
        <f>"9818740891"</f>
        <v>9818740891</v>
      </c>
      <c r="B2718" s="1" t="str">
        <f t="shared" si="64"/>
        <v>02406911202</v>
      </c>
      <c r="C2718" s="1" t="s">
        <v>13</v>
      </c>
      <c r="D2718" s="1" t="s">
        <v>1253</v>
      </c>
      <c r="E2718" s="1" t="s">
        <v>1260</v>
      </c>
      <c r="F2718" s="1" t="s">
        <v>49</v>
      </c>
      <c r="G2718" s="1" t="str">
        <f>"11408800966"</f>
        <v>11408800966</v>
      </c>
      <c r="I2718" s="1" t="s">
        <v>1930</v>
      </c>
      <c r="L2718" s="1" t="s">
        <v>44</v>
      </c>
      <c r="M2718" s="1" t="s">
        <v>2739</v>
      </c>
      <c r="AG2718" s="1" t="s">
        <v>124</v>
      </c>
      <c r="AH2718" s="2">
        <v>45070</v>
      </c>
      <c r="AI2718" s="2">
        <v>45291</v>
      </c>
      <c r="AJ2718" s="2">
        <v>45070</v>
      </c>
    </row>
    <row r="2719" spans="1:36">
      <c r="A2719" s="1" t="str">
        <f>"Z3F3B4AE6C"</f>
        <v>Z3F3B4AE6C</v>
      </c>
      <c r="B2719" s="1" t="str">
        <f t="shared" si="64"/>
        <v>02406911202</v>
      </c>
      <c r="C2719" s="1" t="s">
        <v>13</v>
      </c>
      <c r="D2719" s="1" t="s">
        <v>1253</v>
      </c>
      <c r="E2719" s="1" t="s">
        <v>1260</v>
      </c>
      <c r="F2719" s="1" t="s">
        <v>49</v>
      </c>
      <c r="G2719" s="1" t="str">
        <f>"02680890411"</f>
        <v>02680890411</v>
      </c>
      <c r="I2719" s="1" t="s">
        <v>2694</v>
      </c>
      <c r="L2719" s="1" t="s">
        <v>44</v>
      </c>
      <c r="M2719" s="1" t="s">
        <v>1255</v>
      </c>
      <c r="AG2719" s="1" t="s">
        <v>5599</v>
      </c>
      <c r="AH2719" s="2">
        <v>45070</v>
      </c>
      <c r="AI2719" s="2">
        <v>45291</v>
      </c>
      <c r="AJ2719" s="2">
        <v>45070</v>
      </c>
    </row>
    <row r="2720" spans="1:36">
      <c r="A2720" s="1" t="str">
        <f>"982311314A"</f>
        <v>982311314A</v>
      </c>
      <c r="B2720" s="1" t="str">
        <f t="shared" si="64"/>
        <v>02406911202</v>
      </c>
      <c r="C2720" s="1" t="s">
        <v>13</v>
      </c>
      <c r="D2720" s="1" t="s">
        <v>1253</v>
      </c>
      <c r="E2720" s="1" t="s">
        <v>1260</v>
      </c>
      <c r="F2720" s="1" t="s">
        <v>49</v>
      </c>
      <c r="G2720" s="1" t="str">
        <f>"09301330966"</f>
        <v>09301330966</v>
      </c>
      <c r="I2720" s="1" t="s">
        <v>553</v>
      </c>
      <c r="L2720" s="1" t="s">
        <v>44</v>
      </c>
      <c r="M2720" s="1" t="s">
        <v>2739</v>
      </c>
      <c r="AG2720" s="1" t="s">
        <v>5600</v>
      </c>
      <c r="AH2720" s="2">
        <v>45071</v>
      </c>
      <c r="AI2720" s="2">
        <v>45610</v>
      </c>
      <c r="AJ2720" s="2">
        <v>45071</v>
      </c>
    </row>
    <row r="2721" spans="1:36">
      <c r="A2721" s="1" t="str">
        <f>"ZD43AA08AE"</f>
        <v>ZD43AA08AE</v>
      </c>
      <c r="B2721" s="1" t="str">
        <f t="shared" si="64"/>
        <v>02406911202</v>
      </c>
      <c r="C2721" s="1" t="s">
        <v>13</v>
      </c>
      <c r="D2721" s="1" t="s">
        <v>1253</v>
      </c>
      <c r="E2721" s="1" t="s">
        <v>1270</v>
      </c>
      <c r="F2721" s="1" t="s">
        <v>49</v>
      </c>
      <c r="G2721" s="1" t="str">
        <f>"08860270969"</f>
        <v>08860270969</v>
      </c>
      <c r="I2721" s="1" t="s">
        <v>2747</v>
      </c>
      <c r="L2721" s="1" t="s">
        <v>44</v>
      </c>
      <c r="M2721" s="1" t="s">
        <v>1255</v>
      </c>
      <c r="AG2721" s="1" t="s">
        <v>5601</v>
      </c>
      <c r="AH2721" s="2">
        <v>45016</v>
      </c>
      <c r="AI2721" s="2">
        <v>45291</v>
      </c>
      <c r="AJ2721" s="2">
        <v>45016</v>
      </c>
    </row>
    <row r="2722" spans="1:36">
      <c r="A2722" s="1" t="str">
        <f>"Z993ADFA59"</f>
        <v>Z993ADFA59</v>
      </c>
      <c r="B2722" s="1" t="str">
        <f t="shared" si="64"/>
        <v>02406911202</v>
      </c>
      <c r="C2722" s="1" t="s">
        <v>13</v>
      </c>
      <c r="D2722" s="1" t="s">
        <v>37</v>
      </c>
      <c r="E2722" s="1" t="s">
        <v>4875</v>
      </c>
      <c r="F2722" s="1" t="s">
        <v>117</v>
      </c>
      <c r="G2722" s="1" t="str">
        <f>"01604300366"</f>
        <v>01604300366</v>
      </c>
      <c r="I2722" s="1" t="s">
        <v>5602</v>
      </c>
      <c r="L2722" s="1" t="s">
        <v>44</v>
      </c>
      <c r="M2722" s="1" t="s">
        <v>5603</v>
      </c>
      <c r="AG2722" s="1" t="s">
        <v>5604</v>
      </c>
      <c r="AH2722" s="2">
        <v>45017</v>
      </c>
      <c r="AI2722" s="2">
        <v>45382</v>
      </c>
      <c r="AJ2722" s="2">
        <v>45017</v>
      </c>
    </row>
    <row r="2723" spans="1:36">
      <c r="A2723" s="1" t="str">
        <f>"Z2D3ADFAA7"</f>
        <v>Z2D3ADFAA7</v>
      </c>
      <c r="B2723" s="1" t="str">
        <f t="shared" si="64"/>
        <v>02406911202</v>
      </c>
      <c r="C2723" s="1" t="s">
        <v>13</v>
      </c>
      <c r="D2723" s="1" t="s">
        <v>37</v>
      </c>
      <c r="E2723" s="1" t="s">
        <v>4875</v>
      </c>
      <c r="F2723" s="1" t="s">
        <v>117</v>
      </c>
      <c r="G2723" s="1" t="str">
        <f>"07609020966"</f>
        <v>07609020966</v>
      </c>
      <c r="I2723" s="1" t="s">
        <v>3709</v>
      </c>
      <c r="L2723" s="1" t="s">
        <v>44</v>
      </c>
      <c r="M2723" s="1" t="s">
        <v>5605</v>
      </c>
      <c r="AG2723" s="1" t="s">
        <v>2272</v>
      </c>
      <c r="AH2723" s="2">
        <v>45017</v>
      </c>
      <c r="AI2723" s="2">
        <v>45382</v>
      </c>
      <c r="AJ2723" s="2">
        <v>45017</v>
      </c>
    </row>
    <row r="2724" spans="1:36">
      <c r="A2724" s="1" t="str">
        <f>"Z613ADFAF1"</f>
        <v>Z613ADFAF1</v>
      </c>
      <c r="B2724" s="1" t="str">
        <f t="shared" si="64"/>
        <v>02406911202</v>
      </c>
      <c r="C2724" s="1" t="s">
        <v>13</v>
      </c>
      <c r="D2724" s="1" t="s">
        <v>37</v>
      </c>
      <c r="E2724" s="1" t="s">
        <v>4875</v>
      </c>
      <c r="F2724" s="1" t="s">
        <v>117</v>
      </c>
      <c r="G2724" s="1" t="str">
        <f>"10994940152"</f>
        <v>10994940152</v>
      </c>
      <c r="I2724" s="1" t="s">
        <v>177</v>
      </c>
      <c r="L2724" s="1" t="s">
        <v>44</v>
      </c>
      <c r="M2724" s="1" t="s">
        <v>5606</v>
      </c>
      <c r="AG2724" s="1" t="s">
        <v>2079</v>
      </c>
      <c r="AH2724" s="2">
        <v>45017</v>
      </c>
      <c r="AI2724" s="2">
        <v>45382</v>
      </c>
      <c r="AJ2724" s="2">
        <v>45017</v>
      </c>
    </row>
    <row r="2725" spans="1:36">
      <c r="A2725" s="1" t="str">
        <f>"ZA63ADFBE4"</f>
        <v>ZA63ADFBE4</v>
      </c>
      <c r="B2725" s="1" t="str">
        <f t="shared" si="64"/>
        <v>02406911202</v>
      </c>
      <c r="C2725" s="1" t="s">
        <v>13</v>
      </c>
      <c r="D2725" s="1" t="s">
        <v>37</v>
      </c>
      <c r="E2725" s="1" t="s">
        <v>4875</v>
      </c>
      <c r="F2725" s="1" t="s">
        <v>117</v>
      </c>
      <c r="G2725" s="1" t="str">
        <f>"02804530968"</f>
        <v>02804530968</v>
      </c>
      <c r="I2725" s="1" t="s">
        <v>1599</v>
      </c>
      <c r="L2725" s="1" t="s">
        <v>44</v>
      </c>
      <c r="M2725" s="1" t="s">
        <v>5607</v>
      </c>
      <c r="AG2725" s="1" t="s">
        <v>4535</v>
      </c>
      <c r="AH2725" s="2">
        <v>45017</v>
      </c>
      <c r="AI2725" s="2">
        <v>45382</v>
      </c>
      <c r="AJ2725" s="2">
        <v>45017</v>
      </c>
    </row>
    <row r="2726" spans="1:36">
      <c r="A2726" s="1" t="str">
        <f>"Z453AE5280"</f>
        <v>Z453AE5280</v>
      </c>
      <c r="B2726" s="1" t="str">
        <f t="shared" si="64"/>
        <v>02406911202</v>
      </c>
      <c r="C2726" s="1" t="s">
        <v>13</v>
      </c>
      <c r="D2726" s="1" t="s">
        <v>1312</v>
      </c>
      <c r="E2726" s="1" t="s">
        <v>5608</v>
      </c>
      <c r="F2726" s="1" t="s">
        <v>49</v>
      </c>
      <c r="G2726" s="1" t="str">
        <f>"00628161200"</f>
        <v>00628161200</v>
      </c>
      <c r="I2726" s="1" t="s">
        <v>2786</v>
      </c>
      <c r="L2726" s="1" t="s">
        <v>44</v>
      </c>
      <c r="M2726" s="1" t="s">
        <v>1314</v>
      </c>
      <c r="AG2726" s="1" t="s">
        <v>5609</v>
      </c>
      <c r="AH2726" s="2">
        <v>45037</v>
      </c>
      <c r="AI2726" s="2">
        <v>45291</v>
      </c>
      <c r="AJ2726" s="2">
        <v>45037</v>
      </c>
    </row>
    <row r="2727" spans="1:36">
      <c r="A2727" s="1" t="str">
        <f>"Z6E3AE55B5"</f>
        <v>Z6E3AE55B5</v>
      </c>
      <c r="B2727" s="1" t="str">
        <f t="shared" si="64"/>
        <v>02406911202</v>
      </c>
      <c r="C2727" s="1" t="s">
        <v>13</v>
      </c>
      <c r="D2727" s="1" t="s">
        <v>1257</v>
      </c>
      <c r="E2727" s="1" t="s">
        <v>5610</v>
      </c>
      <c r="F2727" s="1" t="s">
        <v>49</v>
      </c>
      <c r="G2727" s="1" t="str">
        <f>"01786290161"</f>
        <v>01786290161</v>
      </c>
      <c r="I2727" s="1" t="s">
        <v>5611</v>
      </c>
      <c r="L2727" s="1" t="s">
        <v>44</v>
      </c>
      <c r="M2727" s="1" t="s">
        <v>933</v>
      </c>
      <c r="AG2727" s="1" t="s">
        <v>5612</v>
      </c>
      <c r="AH2727" s="2">
        <v>45037</v>
      </c>
      <c r="AI2727" s="2">
        <v>45291</v>
      </c>
      <c r="AJ2727" s="2">
        <v>45037</v>
      </c>
    </row>
    <row r="2728" spans="1:36">
      <c r="A2728" s="1" t="str">
        <f>"ZEB3AE5610"</f>
        <v>ZEB3AE5610</v>
      </c>
      <c r="B2728" s="1" t="str">
        <f t="shared" si="64"/>
        <v>02406911202</v>
      </c>
      <c r="C2728" s="1" t="s">
        <v>13</v>
      </c>
      <c r="D2728" s="1" t="s">
        <v>1257</v>
      </c>
      <c r="E2728" s="1" t="s">
        <v>5613</v>
      </c>
      <c r="F2728" s="1" t="s">
        <v>49</v>
      </c>
      <c r="G2728" s="1" t="str">
        <f>"04047160405"</f>
        <v>04047160405</v>
      </c>
      <c r="I2728" s="1" t="s">
        <v>5614</v>
      </c>
      <c r="L2728" s="1" t="s">
        <v>44</v>
      </c>
      <c r="M2728" s="1" t="s">
        <v>930</v>
      </c>
      <c r="AG2728" s="1" t="s">
        <v>124</v>
      </c>
      <c r="AH2728" s="2">
        <v>45037</v>
      </c>
      <c r="AI2728" s="2">
        <v>45291</v>
      </c>
      <c r="AJ2728" s="2">
        <v>45037</v>
      </c>
    </row>
    <row r="2729" spans="1:36">
      <c r="A2729" s="1" t="str">
        <f>"9733615134"</f>
        <v>9733615134</v>
      </c>
      <c r="B2729" s="1" t="str">
        <f t="shared" si="64"/>
        <v>02406911202</v>
      </c>
      <c r="C2729" s="1" t="s">
        <v>13</v>
      </c>
      <c r="D2729" s="1" t="s">
        <v>37</v>
      </c>
      <c r="E2729" s="1" t="s">
        <v>5615</v>
      </c>
      <c r="F2729" s="1" t="s">
        <v>117</v>
      </c>
      <c r="G2729" s="1" t="str">
        <f>"03145570366"</f>
        <v>03145570366</v>
      </c>
      <c r="I2729" s="1" t="s">
        <v>5616</v>
      </c>
      <c r="L2729" s="1" t="s">
        <v>44</v>
      </c>
      <c r="M2729" s="1" t="s">
        <v>5617</v>
      </c>
      <c r="AG2729" s="1" t="s">
        <v>5618</v>
      </c>
      <c r="AH2729" s="2">
        <v>45017</v>
      </c>
      <c r="AI2729" s="2">
        <v>46022</v>
      </c>
      <c r="AJ2729" s="2">
        <v>45017</v>
      </c>
    </row>
    <row r="2730" spans="1:36">
      <c r="A2730" s="1" t="str">
        <f>"Z093B06473"</f>
        <v>Z093B06473</v>
      </c>
      <c r="B2730" s="1" t="str">
        <f t="shared" si="64"/>
        <v>02406911202</v>
      </c>
      <c r="C2730" s="1" t="s">
        <v>13</v>
      </c>
      <c r="D2730" s="1" t="s">
        <v>37</v>
      </c>
      <c r="E2730" s="1" t="s">
        <v>5619</v>
      </c>
      <c r="F2730" s="1" t="s">
        <v>117</v>
      </c>
      <c r="H2730" s="1" t="str">
        <f>"043310941"</f>
        <v>043310941</v>
      </c>
      <c r="I2730" s="1" t="s">
        <v>1942</v>
      </c>
      <c r="L2730" s="1" t="s">
        <v>44</v>
      </c>
      <c r="M2730" s="1" t="s">
        <v>5620</v>
      </c>
      <c r="AG2730" s="1" t="s">
        <v>5621</v>
      </c>
      <c r="AH2730" s="2">
        <v>44927</v>
      </c>
      <c r="AI2730" s="2">
        <v>45291</v>
      </c>
      <c r="AJ2730" s="2">
        <v>44927</v>
      </c>
    </row>
    <row r="2731" spans="1:36">
      <c r="A2731" s="1" t="str">
        <f>"ZB73B33EBC"</f>
        <v>ZB73B33EBC</v>
      </c>
      <c r="B2731" s="1" t="str">
        <f t="shared" si="64"/>
        <v>02406911202</v>
      </c>
      <c r="C2731" s="1" t="s">
        <v>13</v>
      </c>
      <c r="D2731" s="1" t="s">
        <v>205</v>
      </c>
      <c r="E2731" s="1" t="s">
        <v>5622</v>
      </c>
      <c r="F2731" s="1" t="s">
        <v>49</v>
      </c>
      <c r="G2731" s="1" t="str">
        <f>"03576491207"</f>
        <v>03576491207</v>
      </c>
      <c r="I2731" s="1" t="s">
        <v>5623</v>
      </c>
      <c r="L2731" s="1" t="s">
        <v>44</v>
      </c>
      <c r="M2731" s="1" t="s">
        <v>5624</v>
      </c>
      <c r="AG2731" s="1" t="s">
        <v>124</v>
      </c>
      <c r="AH2731" s="2">
        <v>44927</v>
      </c>
      <c r="AI2731" s="2">
        <v>45291</v>
      </c>
      <c r="AJ2731" s="2">
        <v>44927</v>
      </c>
    </row>
    <row r="2732" spans="1:36">
      <c r="A2732" s="1" t="str">
        <f>"ZE43B33F19"</f>
        <v>ZE43B33F19</v>
      </c>
      <c r="B2732" s="1" t="str">
        <f t="shared" si="64"/>
        <v>02406911202</v>
      </c>
      <c r="C2732" s="1" t="s">
        <v>13</v>
      </c>
      <c r="D2732" s="1" t="s">
        <v>205</v>
      </c>
      <c r="E2732" s="1" t="s">
        <v>5625</v>
      </c>
      <c r="F2732" s="1" t="s">
        <v>49</v>
      </c>
      <c r="G2732" s="1" t="str">
        <f>"03508281205"</f>
        <v>03508281205</v>
      </c>
      <c r="I2732" s="1" t="s">
        <v>5626</v>
      </c>
      <c r="L2732" s="1" t="s">
        <v>44</v>
      </c>
      <c r="M2732" s="1" t="s">
        <v>5627</v>
      </c>
      <c r="AG2732" s="1" t="s">
        <v>5628</v>
      </c>
      <c r="AH2732" s="2">
        <v>44927</v>
      </c>
      <c r="AI2732" s="2">
        <v>45291</v>
      </c>
      <c r="AJ2732" s="2">
        <v>44927</v>
      </c>
    </row>
    <row r="2733" spans="1:36">
      <c r="A2733" s="1" t="str">
        <f>"ZDA3B33F58"</f>
        <v>ZDA3B33F58</v>
      </c>
      <c r="B2733" s="1" t="str">
        <f t="shared" si="64"/>
        <v>02406911202</v>
      </c>
      <c r="C2733" s="1" t="s">
        <v>13</v>
      </c>
      <c r="D2733" s="1" t="s">
        <v>205</v>
      </c>
      <c r="E2733" s="1" t="s">
        <v>5629</v>
      </c>
      <c r="F2733" s="1" t="s">
        <v>49</v>
      </c>
      <c r="G2733" s="1" t="str">
        <f>"03067531206"</f>
        <v>03067531206</v>
      </c>
      <c r="I2733" s="1" t="s">
        <v>5630</v>
      </c>
      <c r="L2733" s="1" t="s">
        <v>44</v>
      </c>
      <c r="M2733" s="1" t="s">
        <v>5631</v>
      </c>
      <c r="AG2733" s="1" t="s">
        <v>124</v>
      </c>
      <c r="AH2733" s="2">
        <v>44927</v>
      </c>
      <c r="AI2733" s="2">
        <v>45291</v>
      </c>
      <c r="AJ2733" s="2">
        <v>44927</v>
      </c>
    </row>
    <row r="2734" spans="1:36">
      <c r="A2734" s="1" t="str">
        <f>"Z703B34226"</f>
        <v>Z703B34226</v>
      </c>
      <c r="B2734" s="1" t="str">
        <f t="shared" si="64"/>
        <v>02406911202</v>
      </c>
      <c r="C2734" s="1" t="s">
        <v>13</v>
      </c>
      <c r="D2734" s="1" t="s">
        <v>205</v>
      </c>
      <c r="E2734" s="1" t="s">
        <v>5632</v>
      </c>
      <c r="F2734" s="1" t="s">
        <v>49</v>
      </c>
      <c r="G2734" s="1" t="str">
        <f>"03818981205"</f>
        <v>03818981205</v>
      </c>
      <c r="I2734" s="1" t="s">
        <v>5633</v>
      </c>
      <c r="L2734" s="1" t="s">
        <v>44</v>
      </c>
      <c r="M2734" s="1" t="s">
        <v>5634</v>
      </c>
      <c r="AG2734" s="1" t="s">
        <v>5635</v>
      </c>
      <c r="AH2734" s="2">
        <v>44927</v>
      </c>
      <c r="AI2734" s="2">
        <v>45291</v>
      </c>
      <c r="AJ2734" s="2">
        <v>44927</v>
      </c>
    </row>
    <row r="2735" spans="1:36">
      <c r="A2735" s="1" t="str">
        <f>"Z8E3B34264"</f>
        <v>Z8E3B34264</v>
      </c>
      <c r="B2735" s="1" t="str">
        <f t="shared" si="64"/>
        <v>02406911202</v>
      </c>
      <c r="C2735" s="1" t="s">
        <v>13</v>
      </c>
      <c r="D2735" s="1" t="s">
        <v>205</v>
      </c>
      <c r="E2735" s="1" t="s">
        <v>5636</v>
      </c>
      <c r="F2735" s="1" t="s">
        <v>49</v>
      </c>
      <c r="G2735" s="1" t="str">
        <f>"03827361209"</f>
        <v>03827361209</v>
      </c>
      <c r="I2735" s="1" t="s">
        <v>5637</v>
      </c>
      <c r="L2735" s="1" t="s">
        <v>44</v>
      </c>
      <c r="M2735" s="1" t="s">
        <v>5638</v>
      </c>
      <c r="AG2735" s="1" t="s">
        <v>5639</v>
      </c>
      <c r="AH2735" s="2">
        <v>44927</v>
      </c>
      <c r="AI2735" s="2">
        <v>45291</v>
      </c>
      <c r="AJ2735" s="2">
        <v>44927</v>
      </c>
    </row>
    <row r="2736" spans="1:36">
      <c r="A2736" s="1" t="str">
        <f>"Z6E3B34297"</f>
        <v>Z6E3B34297</v>
      </c>
      <c r="B2736" s="1" t="str">
        <f t="shared" si="64"/>
        <v>02406911202</v>
      </c>
      <c r="C2736" s="1" t="s">
        <v>13</v>
      </c>
      <c r="D2736" s="1" t="s">
        <v>205</v>
      </c>
      <c r="E2736" s="1" t="s">
        <v>5640</v>
      </c>
      <c r="F2736" s="1" t="s">
        <v>49</v>
      </c>
      <c r="G2736" s="1" t="str">
        <f>"03832291201"</f>
        <v>03832291201</v>
      </c>
      <c r="I2736" s="1" t="s">
        <v>5641</v>
      </c>
      <c r="L2736" s="1" t="s">
        <v>44</v>
      </c>
      <c r="M2736" s="1" t="s">
        <v>5642</v>
      </c>
      <c r="AG2736" s="1" t="s">
        <v>5643</v>
      </c>
      <c r="AH2736" s="2">
        <v>44927</v>
      </c>
      <c r="AI2736" s="2">
        <v>45291</v>
      </c>
      <c r="AJ2736" s="2">
        <v>44927</v>
      </c>
    </row>
    <row r="2737" spans="1:36">
      <c r="A2737" s="1" t="str">
        <f>"Z613B34302"</f>
        <v>Z613B34302</v>
      </c>
      <c r="B2737" s="1" t="str">
        <f t="shared" si="64"/>
        <v>02406911202</v>
      </c>
      <c r="C2737" s="1" t="s">
        <v>13</v>
      </c>
      <c r="D2737" s="1" t="s">
        <v>205</v>
      </c>
      <c r="E2737" s="1" t="s">
        <v>5644</v>
      </c>
      <c r="F2737" s="1" t="s">
        <v>49</v>
      </c>
      <c r="G2737" s="1" t="str">
        <f>"03835681200"</f>
        <v>03835681200</v>
      </c>
      <c r="I2737" s="1" t="s">
        <v>5645</v>
      </c>
      <c r="L2737" s="1" t="s">
        <v>44</v>
      </c>
      <c r="M2737" s="1" t="s">
        <v>5646</v>
      </c>
      <c r="AG2737" s="1" t="s">
        <v>124</v>
      </c>
      <c r="AH2737" s="2">
        <v>44927</v>
      </c>
      <c r="AI2737" s="2">
        <v>45291</v>
      </c>
      <c r="AJ2737" s="2">
        <v>44927</v>
      </c>
    </row>
    <row r="2738" spans="1:36">
      <c r="A2738" s="1" t="str">
        <f>"ZCF3B3433E"</f>
        <v>ZCF3B3433E</v>
      </c>
      <c r="B2738" s="1" t="str">
        <f t="shared" si="64"/>
        <v>02406911202</v>
      </c>
      <c r="C2738" s="1" t="s">
        <v>13</v>
      </c>
      <c r="D2738" s="1" t="s">
        <v>205</v>
      </c>
      <c r="E2738" s="1" t="s">
        <v>5647</v>
      </c>
      <c r="F2738" s="1" t="s">
        <v>49</v>
      </c>
      <c r="G2738" s="1" t="str">
        <f>"03664141201"</f>
        <v>03664141201</v>
      </c>
      <c r="I2738" s="1" t="s">
        <v>5648</v>
      </c>
      <c r="L2738" s="1" t="s">
        <v>44</v>
      </c>
      <c r="M2738" s="1" t="s">
        <v>5649</v>
      </c>
      <c r="AG2738" s="1" t="s">
        <v>124</v>
      </c>
      <c r="AH2738" s="2">
        <v>44927</v>
      </c>
      <c r="AI2738" s="2">
        <v>45291</v>
      </c>
      <c r="AJ2738" s="2">
        <v>44927</v>
      </c>
    </row>
    <row r="2739" spans="1:36">
      <c r="A2739" s="1" t="str">
        <f>"Z883B343B7"</f>
        <v>Z883B343B7</v>
      </c>
      <c r="B2739" s="1" t="str">
        <f t="shared" si="64"/>
        <v>02406911202</v>
      </c>
      <c r="C2739" s="1" t="s">
        <v>13</v>
      </c>
      <c r="D2739" s="1" t="s">
        <v>205</v>
      </c>
      <c r="E2739" s="1" t="s">
        <v>5650</v>
      </c>
      <c r="F2739" s="1" t="s">
        <v>49</v>
      </c>
      <c r="G2739" s="1" t="str">
        <f>"03852241201"</f>
        <v>03852241201</v>
      </c>
      <c r="I2739" s="1" t="s">
        <v>5651</v>
      </c>
      <c r="L2739" s="1" t="s">
        <v>44</v>
      </c>
      <c r="M2739" s="1" t="s">
        <v>5652</v>
      </c>
      <c r="AG2739" s="1" t="s">
        <v>5653</v>
      </c>
      <c r="AH2739" s="2">
        <v>44927</v>
      </c>
      <c r="AI2739" s="2">
        <v>45291</v>
      </c>
      <c r="AJ2739" s="2">
        <v>44927</v>
      </c>
    </row>
    <row r="2740" spans="1:36">
      <c r="A2740" s="1" t="str">
        <f>"ZEB3B343ED"</f>
        <v>ZEB3B343ED</v>
      </c>
      <c r="B2740" s="1" t="str">
        <f t="shared" si="64"/>
        <v>02406911202</v>
      </c>
      <c r="C2740" s="1" t="s">
        <v>13</v>
      </c>
      <c r="D2740" s="1" t="s">
        <v>205</v>
      </c>
      <c r="E2740" s="1" t="s">
        <v>5654</v>
      </c>
      <c r="F2740" s="1" t="s">
        <v>49</v>
      </c>
      <c r="G2740" s="1" t="str">
        <f>"03860711203"</f>
        <v>03860711203</v>
      </c>
      <c r="I2740" s="1" t="s">
        <v>5655</v>
      </c>
      <c r="L2740" s="1" t="s">
        <v>44</v>
      </c>
      <c r="M2740" s="1" t="s">
        <v>5656</v>
      </c>
      <c r="AG2740" s="1" t="s">
        <v>5657</v>
      </c>
      <c r="AH2740" s="2">
        <v>44927</v>
      </c>
      <c r="AI2740" s="2">
        <v>45291</v>
      </c>
      <c r="AJ2740" s="2">
        <v>44927</v>
      </c>
    </row>
    <row r="2741" spans="1:36">
      <c r="A2741" s="1" t="str">
        <f>"ZA73B3443A"</f>
        <v>ZA73B3443A</v>
      </c>
      <c r="B2741" s="1" t="str">
        <f t="shared" si="64"/>
        <v>02406911202</v>
      </c>
      <c r="C2741" s="1" t="s">
        <v>13</v>
      </c>
      <c r="D2741" s="1" t="s">
        <v>205</v>
      </c>
      <c r="E2741" s="1" t="s">
        <v>5658</v>
      </c>
      <c r="F2741" s="1" t="s">
        <v>49</v>
      </c>
      <c r="G2741" s="1" t="str">
        <f>"03883581203"</f>
        <v>03883581203</v>
      </c>
      <c r="I2741" s="1" t="s">
        <v>5659</v>
      </c>
      <c r="L2741" s="1" t="s">
        <v>44</v>
      </c>
      <c r="M2741" s="1" t="s">
        <v>5660</v>
      </c>
      <c r="AG2741" s="1" t="s">
        <v>5661</v>
      </c>
      <c r="AH2741" s="2">
        <v>44927</v>
      </c>
      <c r="AI2741" s="2">
        <v>45291</v>
      </c>
      <c r="AJ2741" s="2">
        <v>44927</v>
      </c>
    </row>
    <row r="2742" spans="1:36">
      <c r="A2742" s="1" t="str">
        <f>"Z6A3B34474"</f>
        <v>Z6A3B34474</v>
      </c>
      <c r="B2742" s="1" t="str">
        <f t="shared" si="64"/>
        <v>02406911202</v>
      </c>
      <c r="C2742" s="1" t="s">
        <v>13</v>
      </c>
      <c r="D2742" s="1" t="s">
        <v>205</v>
      </c>
      <c r="E2742" s="1" t="s">
        <v>5662</v>
      </c>
      <c r="F2742" s="1" t="s">
        <v>49</v>
      </c>
      <c r="G2742" s="1" t="str">
        <f>"08267990961"</f>
        <v>08267990961</v>
      </c>
      <c r="I2742" s="1" t="s">
        <v>5663</v>
      </c>
      <c r="L2742" s="1" t="s">
        <v>44</v>
      </c>
      <c r="M2742" s="1" t="s">
        <v>5664</v>
      </c>
      <c r="AG2742" s="1" t="s">
        <v>124</v>
      </c>
      <c r="AH2742" s="2">
        <v>44927</v>
      </c>
      <c r="AI2742" s="2">
        <v>45291</v>
      </c>
      <c r="AJ2742" s="2">
        <v>44927</v>
      </c>
    </row>
    <row r="2743" spans="1:36">
      <c r="A2743" s="1" t="str">
        <f>"Z4E3B344C0"</f>
        <v>Z4E3B344C0</v>
      </c>
      <c r="B2743" s="1" t="str">
        <f t="shared" si="64"/>
        <v>02406911202</v>
      </c>
      <c r="C2743" s="1" t="s">
        <v>13</v>
      </c>
      <c r="D2743" s="1" t="s">
        <v>205</v>
      </c>
      <c r="E2743" s="1" t="s">
        <v>5665</v>
      </c>
      <c r="F2743" s="1" t="s">
        <v>49</v>
      </c>
      <c r="G2743" s="1" t="str">
        <f>"03901871206"</f>
        <v>03901871206</v>
      </c>
      <c r="I2743" s="1" t="s">
        <v>5666</v>
      </c>
      <c r="L2743" s="1" t="s">
        <v>44</v>
      </c>
      <c r="M2743" s="1" t="s">
        <v>5667</v>
      </c>
      <c r="AG2743" s="1" t="s">
        <v>5668</v>
      </c>
      <c r="AH2743" s="2">
        <v>44927</v>
      </c>
      <c r="AI2743" s="2">
        <v>45291</v>
      </c>
      <c r="AJ2743" s="2">
        <v>44927</v>
      </c>
    </row>
    <row r="2744" spans="1:36">
      <c r="A2744" s="1" t="str">
        <f>"Z603B3499A"</f>
        <v>Z603B3499A</v>
      </c>
      <c r="B2744" s="1" t="str">
        <f t="shared" si="64"/>
        <v>02406911202</v>
      </c>
      <c r="C2744" s="1" t="s">
        <v>13</v>
      </c>
      <c r="D2744" s="1" t="s">
        <v>205</v>
      </c>
      <c r="E2744" s="1" t="s">
        <v>5669</v>
      </c>
      <c r="F2744" s="1" t="s">
        <v>49</v>
      </c>
      <c r="G2744" s="1" t="str">
        <f>"03988251207"</f>
        <v>03988251207</v>
      </c>
      <c r="I2744" s="1" t="s">
        <v>5670</v>
      </c>
      <c r="L2744" s="1" t="s">
        <v>44</v>
      </c>
      <c r="M2744" s="1" t="s">
        <v>5671</v>
      </c>
      <c r="AG2744" s="1" t="s">
        <v>5672</v>
      </c>
      <c r="AH2744" s="2">
        <v>44927</v>
      </c>
      <c r="AI2744" s="2">
        <v>45291</v>
      </c>
      <c r="AJ2744" s="2">
        <v>44927</v>
      </c>
    </row>
    <row r="2745" spans="1:36">
      <c r="A2745" s="1" t="str">
        <f>"Z403B349CD"</f>
        <v>Z403B349CD</v>
      </c>
      <c r="B2745" s="1" t="str">
        <f t="shared" si="64"/>
        <v>02406911202</v>
      </c>
      <c r="C2745" s="1" t="s">
        <v>13</v>
      </c>
      <c r="D2745" s="1" t="s">
        <v>205</v>
      </c>
      <c r="E2745" s="1" t="s">
        <v>5673</v>
      </c>
      <c r="F2745" s="1" t="s">
        <v>49</v>
      </c>
      <c r="G2745" s="1" t="str">
        <f>"03983081203"</f>
        <v>03983081203</v>
      </c>
      <c r="I2745" s="1" t="s">
        <v>5674</v>
      </c>
      <c r="L2745" s="1" t="s">
        <v>44</v>
      </c>
      <c r="M2745" s="1" t="s">
        <v>5675</v>
      </c>
      <c r="AG2745" s="1" t="s">
        <v>5676</v>
      </c>
      <c r="AH2745" s="2">
        <v>44927</v>
      </c>
      <c r="AI2745" s="2">
        <v>45291</v>
      </c>
      <c r="AJ2745" s="2">
        <v>44927</v>
      </c>
    </row>
    <row r="2746" spans="1:36">
      <c r="A2746" s="1" t="str">
        <f>"ZAD3A209BC"</f>
        <v>ZAD3A209BC</v>
      </c>
      <c r="B2746" s="1" t="str">
        <f t="shared" si="64"/>
        <v>02406911202</v>
      </c>
      <c r="C2746" s="1" t="s">
        <v>13</v>
      </c>
      <c r="D2746" s="1" t="s">
        <v>1741</v>
      </c>
      <c r="E2746" s="1" t="s">
        <v>5677</v>
      </c>
      <c r="F2746" s="1" t="s">
        <v>39</v>
      </c>
      <c r="G2746" s="1" t="str">
        <f>"04427081007"</f>
        <v>04427081007</v>
      </c>
      <c r="I2746" s="1" t="s">
        <v>2135</v>
      </c>
      <c r="L2746" s="1" t="s">
        <v>44</v>
      </c>
      <c r="M2746" s="1" t="s">
        <v>2801</v>
      </c>
      <c r="AG2746" s="1" t="s">
        <v>2801</v>
      </c>
      <c r="AH2746" s="2">
        <v>44984</v>
      </c>
      <c r="AI2746" s="2">
        <v>45291</v>
      </c>
      <c r="AJ2746" s="2">
        <v>44984</v>
      </c>
    </row>
    <row r="2747" spans="1:36">
      <c r="A2747" s="1" t="str">
        <f>"ZAD3A209BC"</f>
        <v>ZAD3A209BC</v>
      </c>
      <c r="B2747" s="1" t="str">
        <f t="shared" si="64"/>
        <v>02406911202</v>
      </c>
      <c r="C2747" s="1" t="s">
        <v>13</v>
      </c>
      <c r="D2747" s="1" t="s">
        <v>1741</v>
      </c>
      <c r="E2747" s="1" t="s">
        <v>5677</v>
      </c>
      <c r="F2747" s="1" t="s">
        <v>39</v>
      </c>
      <c r="G2747" s="1" t="str">
        <f>"01486330309"</f>
        <v>01486330309</v>
      </c>
      <c r="I2747" s="1" t="s">
        <v>2134</v>
      </c>
      <c r="L2747" s="1" t="s">
        <v>41</v>
      </c>
      <c r="AJ2747" s="2">
        <v>44984</v>
      </c>
    </row>
    <row r="2748" spans="1:36">
      <c r="A2748" s="1" t="str">
        <f>"ZAD3A209BC"</f>
        <v>ZAD3A209BC</v>
      </c>
      <c r="B2748" s="1" t="str">
        <f t="shared" si="64"/>
        <v>02406911202</v>
      </c>
      <c r="C2748" s="1" t="s">
        <v>13</v>
      </c>
      <c r="D2748" s="1" t="s">
        <v>1741</v>
      </c>
      <c r="E2748" s="1" t="s">
        <v>5677</v>
      </c>
      <c r="F2748" s="1" t="s">
        <v>39</v>
      </c>
      <c r="G2748" s="1" t="str">
        <f>"02252270398"</f>
        <v>02252270398</v>
      </c>
      <c r="I2748" s="1" t="s">
        <v>2132</v>
      </c>
      <c r="L2748" s="1" t="s">
        <v>41</v>
      </c>
      <c r="AJ2748" s="2">
        <v>44984</v>
      </c>
    </row>
    <row r="2749" spans="1:36">
      <c r="A2749" s="1" t="str">
        <f>"Z7A3AAE0A3"</f>
        <v>Z7A3AAE0A3</v>
      </c>
      <c r="B2749" s="1" t="str">
        <f t="shared" si="64"/>
        <v>02406911202</v>
      </c>
      <c r="C2749" s="1" t="s">
        <v>13</v>
      </c>
      <c r="D2749" s="1" t="s">
        <v>1312</v>
      </c>
      <c r="E2749" s="1" t="s">
        <v>5678</v>
      </c>
      <c r="F2749" s="1" t="s">
        <v>49</v>
      </c>
      <c r="G2749" s="1" t="str">
        <f>"03849010107"</f>
        <v>03849010107</v>
      </c>
      <c r="I2749" s="1" t="s">
        <v>5679</v>
      </c>
      <c r="L2749" s="1" t="s">
        <v>44</v>
      </c>
      <c r="M2749" s="1" t="s">
        <v>1314</v>
      </c>
      <c r="AG2749" s="1" t="s">
        <v>5680</v>
      </c>
      <c r="AH2749" s="2">
        <v>45021</v>
      </c>
      <c r="AI2749" s="2">
        <v>45657</v>
      </c>
      <c r="AJ2749" s="2">
        <v>45021</v>
      </c>
    </row>
    <row r="2750" spans="1:36">
      <c r="A2750" s="1" t="str">
        <f>"9677773EE9"</f>
        <v>9677773EE9</v>
      </c>
      <c r="B2750" s="1" t="str">
        <f t="shared" si="64"/>
        <v>02406911202</v>
      </c>
      <c r="C2750" s="1" t="s">
        <v>13</v>
      </c>
      <c r="D2750" s="1" t="s">
        <v>37</v>
      </c>
      <c r="E2750" s="1" t="s">
        <v>5681</v>
      </c>
      <c r="F2750" s="1" t="s">
        <v>117</v>
      </c>
      <c r="G2750" s="1" t="str">
        <f>"00488410010"</f>
        <v>00488410010</v>
      </c>
      <c r="I2750" s="1" t="s">
        <v>1200</v>
      </c>
      <c r="L2750" s="1" t="s">
        <v>44</v>
      </c>
      <c r="M2750" s="1" t="s">
        <v>5682</v>
      </c>
      <c r="AG2750" s="1" t="s">
        <v>5683</v>
      </c>
      <c r="AH2750" s="2">
        <v>44986</v>
      </c>
      <c r="AI2750" s="2">
        <v>46220</v>
      </c>
      <c r="AJ2750" s="2">
        <v>44986</v>
      </c>
    </row>
    <row r="2751" spans="1:36">
      <c r="A2751" s="1" t="str">
        <f>"Z093AB4786"</f>
        <v>Z093AB4786</v>
      </c>
      <c r="B2751" s="1" t="str">
        <f t="shared" si="64"/>
        <v>02406911202</v>
      </c>
      <c r="C2751" s="1" t="s">
        <v>13</v>
      </c>
      <c r="D2751" s="1" t="s">
        <v>1253</v>
      </c>
      <c r="E2751" s="1" t="s">
        <v>1254</v>
      </c>
      <c r="F2751" s="1" t="s">
        <v>49</v>
      </c>
      <c r="G2751" s="1" t="str">
        <f>"08438570965"</f>
        <v>08438570965</v>
      </c>
      <c r="I2751" s="1" t="s">
        <v>3239</v>
      </c>
      <c r="L2751" s="1" t="s">
        <v>44</v>
      </c>
      <c r="M2751" s="1" t="s">
        <v>1255</v>
      </c>
      <c r="AG2751" s="1" t="s">
        <v>5684</v>
      </c>
      <c r="AH2751" s="2">
        <v>45022</v>
      </c>
      <c r="AI2751" s="2">
        <v>45291</v>
      </c>
      <c r="AJ2751" s="2">
        <v>45022</v>
      </c>
    </row>
    <row r="2752" spans="1:36">
      <c r="A2752" s="1" t="str">
        <f>"Z2E3B0F8AB"</f>
        <v>Z2E3B0F8AB</v>
      </c>
      <c r="B2752" s="1" t="str">
        <f t="shared" si="64"/>
        <v>02406911202</v>
      </c>
      <c r="C2752" s="1" t="s">
        <v>13</v>
      </c>
      <c r="D2752" s="1" t="s">
        <v>205</v>
      </c>
      <c r="E2752" s="1" t="s">
        <v>5685</v>
      </c>
      <c r="F2752" s="1" t="s">
        <v>49</v>
      </c>
      <c r="G2752" s="1" t="str">
        <f>"02350050361"</f>
        <v>02350050361</v>
      </c>
      <c r="I2752" s="1" t="s">
        <v>5686</v>
      </c>
      <c r="L2752" s="1" t="s">
        <v>44</v>
      </c>
      <c r="M2752" s="1" t="s">
        <v>5687</v>
      </c>
      <c r="AG2752" s="1" t="s">
        <v>5688</v>
      </c>
      <c r="AH2752" s="2">
        <v>44927</v>
      </c>
      <c r="AI2752" s="2">
        <v>45291</v>
      </c>
      <c r="AJ2752" s="2">
        <v>44927</v>
      </c>
    </row>
    <row r="2753" spans="1:36">
      <c r="A2753" s="1" t="str">
        <f>"ZB63B0F90C"</f>
        <v>ZB63B0F90C</v>
      </c>
      <c r="B2753" s="1" t="str">
        <f t="shared" si="64"/>
        <v>02406911202</v>
      </c>
      <c r="C2753" s="1" t="s">
        <v>13</v>
      </c>
      <c r="D2753" s="1" t="s">
        <v>205</v>
      </c>
      <c r="E2753" s="1" t="s">
        <v>5689</v>
      </c>
      <c r="F2753" s="1" t="s">
        <v>49</v>
      </c>
      <c r="G2753" s="1" t="str">
        <f>"04218760371"</f>
        <v>04218760371</v>
      </c>
      <c r="I2753" s="1" t="s">
        <v>5690</v>
      </c>
      <c r="L2753" s="1" t="s">
        <v>44</v>
      </c>
      <c r="M2753" s="1" t="s">
        <v>5691</v>
      </c>
      <c r="AG2753" s="1" t="s">
        <v>5692</v>
      </c>
      <c r="AH2753" s="2">
        <v>44927</v>
      </c>
      <c r="AI2753" s="2">
        <v>45291</v>
      </c>
      <c r="AJ2753" s="2">
        <v>44927</v>
      </c>
    </row>
    <row r="2754" spans="1:36">
      <c r="A2754" s="1" t="str">
        <f>"ZC739AAB75"</f>
        <v>ZC739AAB75</v>
      </c>
      <c r="B2754" s="1" t="str">
        <f t="shared" si="64"/>
        <v>02406911202</v>
      </c>
      <c r="C2754" s="1" t="s">
        <v>13</v>
      </c>
      <c r="D2754" s="1" t="s">
        <v>1253</v>
      </c>
      <c r="E2754" s="1" t="s">
        <v>1262</v>
      </c>
      <c r="F2754" s="1" t="s">
        <v>49</v>
      </c>
      <c r="G2754" s="1" t="str">
        <f>"11008200153"</f>
        <v>11008200153</v>
      </c>
      <c r="I2754" s="1" t="s">
        <v>2061</v>
      </c>
      <c r="L2754" s="1" t="s">
        <v>44</v>
      </c>
      <c r="M2754" s="1" t="s">
        <v>1255</v>
      </c>
      <c r="AG2754" s="1" t="s">
        <v>5693</v>
      </c>
      <c r="AH2754" s="2">
        <v>45055</v>
      </c>
      <c r="AI2754" s="2">
        <v>45291</v>
      </c>
      <c r="AJ2754" s="2">
        <v>45055</v>
      </c>
    </row>
    <row r="2755" spans="1:36">
      <c r="A2755" s="1" t="str">
        <f>"ZD83B10DFA"</f>
        <v>ZD83B10DFA</v>
      </c>
      <c r="B2755" s="1" t="str">
        <f t="shared" si="64"/>
        <v>02406911202</v>
      </c>
      <c r="C2755" s="1" t="s">
        <v>13</v>
      </c>
      <c r="D2755" s="1" t="s">
        <v>205</v>
      </c>
      <c r="E2755" s="1" t="s">
        <v>5694</v>
      </c>
      <c r="F2755" s="1" t="s">
        <v>49</v>
      </c>
      <c r="G2755" s="1" t="str">
        <f>"04170400370"</f>
        <v>04170400370</v>
      </c>
      <c r="I2755" s="1" t="s">
        <v>5695</v>
      </c>
      <c r="L2755" s="1" t="s">
        <v>44</v>
      </c>
      <c r="M2755" s="1" t="s">
        <v>5696</v>
      </c>
      <c r="AG2755" s="1" t="s">
        <v>5697</v>
      </c>
      <c r="AH2755" s="2">
        <v>44927</v>
      </c>
      <c r="AI2755" s="2">
        <v>45291</v>
      </c>
      <c r="AJ2755" s="2">
        <v>44927</v>
      </c>
    </row>
    <row r="2756" spans="1:36">
      <c r="A2756" s="1" t="str">
        <f>"Z563B11614"</f>
        <v>Z563B11614</v>
      </c>
      <c r="B2756" s="1" t="str">
        <f t="shared" si="64"/>
        <v>02406911202</v>
      </c>
      <c r="C2756" s="1" t="s">
        <v>13</v>
      </c>
      <c r="D2756" s="1" t="s">
        <v>205</v>
      </c>
      <c r="E2756" s="1" t="s">
        <v>5698</v>
      </c>
      <c r="F2756" s="1" t="s">
        <v>49</v>
      </c>
      <c r="G2756" s="1" t="str">
        <f>"01959241207"</f>
        <v>01959241207</v>
      </c>
      <c r="I2756" s="1" t="s">
        <v>5699</v>
      </c>
      <c r="L2756" s="1" t="s">
        <v>44</v>
      </c>
      <c r="M2756" s="1" t="s">
        <v>5700</v>
      </c>
      <c r="AG2756" s="1" t="s">
        <v>5701</v>
      </c>
      <c r="AH2756" s="2">
        <v>44927</v>
      </c>
      <c r="AI2756" s="2">
        <v>45291</v>
      </c>
      <c r="AJ2756" s="2">
        <v>44927</v>
      </c>
    </row>
    <row r="2757" spans="1:36">
      <c r="A2757" s="1" t="str">
        <f>"Z283B50077"</f>
        <v>Z283B50077</v>
      </c>
      <c r="B2757" s="1" t="str">
        <f t="shared" si="64"/>
        <v>02406911202</v>
      </c>
      <c r="C2757" s="1" t="s">
        <v>13</v>
      </c>
      <c r="D2757" s="1" t="s">
        <v>1312</v>
      </c>
      <c r="E2757" s="1" t="s">
        <v>5702</v>
      </c>
      <c r="F2757" s="1" t="s">
        <v>49</v>
      </c>
      <c r="G2757" s="1" t="str">
        <f>"00549731206"</f>
        <v>00549731206</v>
      </c>
      <c r="I2757" s="1" t="s">
        <v>1391</v>
      </c>
      <c r="L2757" s="1" t="s">
        <v>44</v>
      </c>
      <c r="M2757" s="1" t="s">
        <v>1314</v>
      </c>
      <c r="AG2757" s="1" t="s">
        <v>5703</v>
      </c>
      <c r="AH2757" s="2">
        <v>45071</v>
      </c>
      <c r="AI2757" s="2">
        <v>45443</v>
      </c>
      <c r="AJ2757" s="2">
        <v>45071</v>
      </c>
    </row>
    <row r="2758" spans="1:36">
      <c r="A2758" s="1" t="str">
        <f>"Z9D3B50C64"</f>
        <v>Z9D3B50C64</v>
      </c>
      <c r="B2758" s="1" t="str">
        <f t="shared" ref="B2758:B2821" si="65">"02406911202"</f>
        <v>02406911202</v>
      </c>
      <c r="C2758" s="1" t="s">
        <v>13</v>
      </c>
      <c r="D2758" s="1" t="s">
        <v>1253</v>
      </c>
      <c r="E2758" s="1" t="s">
        <v>1270</v>
      </c>
      <c r="F2758" s="1" t="s">
        <v>49</v>
      </c>
      <c r="G2758" s="1" t="str">
        <f>"12792100153"</f>
        <v>12792100153</v>
      </c>
      <c r="I2758" s="1" t="s">
        <v>803</v>
      </c>
      <c r="L2758" s="1" t="s">
        <v>44</v>
      </c>
      <c r="M2758" s="1" t="s">
        <v>1255</v>
      </c>
      <c r="AG2758" s="1" t="s">
        <v>5704</v>
      </c>
      <c r="AH2758" s="2">
        <v>45071</v>
      </c>
      <c r="AI2758" s="2">
        <v>45291</v>
      </c>
      <c r="AJ2758" s="2">
        <v>45071</v>
      </c>
    </row>
    <row r="2759" spans="1:36">
      <c r="A2759" s="1" t="str">
        <f>"98019801C9"</f>
        <v>98019801C9</v>
      </c>
      <c r="B2759" s="1" t="str">
        <f t="shared" si="65"/>
        <v>02406911202</v>
      </c>
      <c r="C2759" s="1" t="s">
        <v>13</v>
      </c>
      <c r="D2759" s="1" t="s">
        <v>1312</v>
      </c>
      <c r="E2759" s="1" t="s">
        <v>5705</v>
      </c>
      <c r="F2759" s="1" t="s">
        <v>49</v>
      </c>
      <c r="G2759" s="1" t="str">
        <f>"05096510267"</f>
        <v>05096510267</v>
      </c>
      <c r="I2759" s="1" t="s">
        <v>3095</v>
      </c>
      <c r="L2759" s="1" t="s">
        <v>44</v>
      </c>
      <c r="M2759" s="1" t="s">
        <v>5706</v>
      </c>
      <c r="AG2759" s="1" t="s">
        <v>124</v>
      </c>
      <c r="AH2759" s="2">
        <v>45071</v>
      </c>
      <c r="AI2759" s="2">
        <v>45291</v>
      </c>
      <c r="AJ2759" s="2">
        <v>45071</v>
      </c>
    </row>
    <row r="2760" spans="1:36">
      <c r="A2760" s="1" t="str">
        <f>"ZCF3B3AE1D"</f>
        <v>ZCF3B3AE1D</v>
      </c>
      <c r="B2760" s="1" t="str">
        <f t="shared" si="65"/>
        <v>02406911202</v>
      </c>
      <c r="C2760" s="1" t="s">
        <v>13</v>
      </c>
      <c r="D2760" s="1" t="s">
        <v>1253</v>
      </c>
      <c r="E2760" s="1" t="s">
        <v>1317</v>
      </c>
      <c r="F2760" s="1" t="s">
        <v>49</v>
      </c>
      <c r="G2760" s="1" t="str">
        <f>"03992220966"</f>
        <v>03992220966</v>
      </c>
      <c r="I2760" s="1" t="s">
        <v>84</v>
      </c>
      <c r="L2760" s="1" t="s">
        <v>44</v>
      </c>
      <c r="M2760" s="1" t="s">
        <v>1255</v>
      </c>
      <c r="AG2760" s="1" t="s">
        <v>5707</v>
      </c>
      <c r="AH2760" s="2">
        <v>45071</v>
      </c>
      <c r="AI2760" s="2">
        <v>45291</v>
      </c>
      <c r="AJ2760" s="2">
        <v>45071</v>
      </c>
    </row>
    <row r="2761" spans="1:36">
      <c r="A2761" s="1" t="str">
        <f>"Z5D3B50FBB"</f>
        <v>Z5D3B50FBB</v>
      </c>
      <c r="B2761" s="1" t="str">
        <f t="shared" si="65"/>
        <v>02406911202</v>
      </c>
      <c r="C2761" s="1" t="s">
        <v>13</v>
      </c>
      <c r="D2761" s="1" t="s">
        <v>1253</v>
      </c>
      <c r="E2761" s="1" t="s">
        <v>3210</v>
      </c>
      <c r="F2761" s="1" t="s">
        <v>49</v>
      </c>
      <c r="H2761" s="1" t="str">
        <f>"3243827QH"</f>
        <v>3243827QH</v>
      </c>
      <c r="I2761" s="1" t="s">
        <v>2233</v>
      </c>
      <c r="L2761" s="1" t="s">
        <v>44</v>
      </c>
      <c r="M2761" s="1" t="s">
        <v>153</v>
      </c>
      <c r="AG2761" s="1" t="s">
        <v>5708</v>
      </c>
      <c r="AH2761" s="2">
        <v>45071</v>
      </c>
      <c r="AI2761" s="2">
        <v>45291</v>
      </c>
      <c r="AJ2761" s="2">
        <v>45071</v>
      </c>
    </row>
    <row r="2762" spans="1:36">
      <c r="A2762" s="1" t="str">
        <f>"Z403B5179A"</f>
        <v>Z403B5179A</v>
      </c>
      <c r="B2762" s="1" t="str">
        <f t="shared" si="65"/>
        <v>02406911202</v>
      </c>
      <c r="C2762" s="1" t="s">
        <v>13</v>
      </c>
      <c r="D2762" s="1" t="s">
        <v>1253</v>
      </c>
      <c r="E2762" s="1" t="s">
        <v>3210</v>
      </c>
      <c r="F2762" s="1" t="s">
        <v>49</v>
      </c>
      <c r="G2762" s="1" t="str">
        <f>"00471770016"</f>
        <v>00471770016</v>
      </c>
      <c r="I2762" s="1" t="s">
        <v>2339</v>
      </c>
      <c r="L2762" s="1" t="s">
        <v>44</v>
      </c>
      <c r="M2762" s="1" t="s">
        <v>153</v>
      </c>
      <c r="AG2762" s="1" t="s">
        <v>5709</v>
      </c>
      <c r="AH2762" s="2">
        <v>45071</v>
      </c>
      <c r="AI2762" s="2">
        <v>45291</v>
      </c>
      <c r="AJ2762" s="2">
        <v>45071</v>
      </c>
    </row>
    <row r="2763" spans="1:36">
      <c r="A2763" s="1" t="str">
        <f>"Z3B3B047C4"</f>
        <v>Z3B3B047C4</v>
      </c>
      <c r="B2763" s="1" t="str">
        <f t="shared" si="65"/>
        <v>02406911202</v>
      </c>
      <c r="C2763" s="1" t="s">
        <v>13</v>
      </c>
      <c r="D2763" s="1" t="s">
        <v>1741</v>
      </c>
      <c r="E2763" s="1" t="s">
        <v>5710</v>
      </c>
      <c r="F2763" s="1" t="s">
        <v>39</v>
      </c>
      <c r="G2763" s="1" t="str">
        <f>"08877930019"</f>
        <v>08877930019</v>
      </c>
      <c r="I2763" s="1" t="s">
        <v>5711</v>
      </c>
      <c r="L2763" s="1" t="s">
        <v>44</v>
      </c>
      <c r="M2763" s="1" t="s">
        <v>5712</v>
      </c>
      <c r="AG2763" s="1" t="s">
        <v>124</v>
      </c>
      <c r="AH2763" s="2">
        <v>45050</v>
      </c>
      <c r="AI2763" s="2">
        <v>45291</v>
      </c>
      <c r="AJ2763" s="2">
        <v>45050</v>
      </c>
    </row>
    <row r="2764" spans="1:36">
      <c r="A2764" s="1" t="str">
        <f>"Z163B51907"</f>
        <v>Z163B51907</v>
      </c>
      <c r="B2764" s="1" t="str">
        <f t="shared" si="65"/>
        <v>02406911202</v>
      </c>
      <c r="C2764" s="1" t="s">
        <v>13</v>
      </c>
      <c r="D2764" s="1" t="s">
        <v>1312</v>
      </c>
      <c r="E2764" s="1" t="s">
        <v>5713</v>
      </c>
      <c r="F2764" s="1" t="s">
        <v>49</v>
      </c>
      <c r="G2764" s="1" t="str">
        <f>"01296201005"</f>
        <v>01296201005</v>
      </c>
      <c r="I2764" s="1" t="s">
        <v>1634</v>
      </c>
      <c r="L2764" s="1" t="s">
        <v>44</v>
      </c>
      <c r="M2764" s="1" t="s">
        <v>1314</v>
      </c>
      <c r="AG2764" s="1" t="s">
        <v>5714</v>
      </c>
      <c r="AH2764" s="2">
        <v>45071</v>
      </c>
      <c r="AI2764" s="2">
        <v>45657</v>
      </c>
      <c r="AJ2764" s="2">
        <v>45071</v>
      </c>
    </row>
    <row r="2765" spans="1:36">
      <c r="A2765" s="1" t="str">
        <f>"Z403B53FCD"</f>
        <v>Z403B53FCD</v>
      </c>
      <c r="B2765" s="1" t="str">
        <f t="shared" si="65"/>
        <v>02406911202</v>
      </c>
      <c r="C2765" s="1" t="s">
        <v>13</v>
      </c>
      <c r="D2765" s="1" t="s">
        <v>1253</v>
      </c>
      <c r="E2765" s="1" t="s">
        <v>1270</v>
      </c>
      <c r="F2765" s="1" t="s">
        <v>49</v>
      </c>
      <c r="G2765" s="1" t="str">
        <f>"00801720152"</f>
        <v>00801720152</v>
      </c>
      <c r="I2765" s="1" t="s">
        <v>5715</v>
      </c>
      <c r="L2765" s="1" t="s">
        <v>44</v>
      </c>
      <c r="M2765" s="1" t="s">
        <v>1255</v>
      </c>
      <c r="AG2765" s="1" t="s">
        <v>5716</v>
      </c>
      <c r="AH2765" s="2">
        <v>45072</v>
      </c>
      <c r="AI2765" s="2">
        <v>45291</v>
      </c>
      <c r="AJ2765" s="2">
        <v>45072</v>
      </c>
    </row>
    <row r="2766" spans="1:36">
      <c r="A2766" s="1" t="str">
        <f>"98434575AF"</f>
        <v>98434575AF</v>
      </c>
      <c r="B2766" s="1" t="str">
        <f t="shared" si="65"/>
        <v>02406911202</v>
      </c>
      <c r="C2766" s="1" t="s">
        <v>13</v>
      </c>
      <c r="D2766" s="1" t="s">
        <v>37</v>
      </c>
      <c r="E2766" s="1" t="s">
        <v>5717</v>
      </c>
      <c r="F2766" s="1" t="s">
        <v>39</v>
      </c>
      <c r="G2766" s="1" t="str">
        <f>"09301330966"</f>
        <v>09301330966</v>
      </c>
      <c r="I2766" s="1" t="s">
        <v>553</v>
      </c>
      <c r="L2766" s="1" t="s">
        <v>44</v>
      </c>
      <c r="M2766" s="1" t="s">
        <v>554</v>
      </c>
      <c r="AG2766" s="1" t="s">
        <v>124</v>
      </c>
      <c r="AH2766" s="2">
        <v>45078</v>
      </c>
      <c r="AI2766" s="2">
        <v>46173</v>
      </c>
      <c r="AJ2766" s="2">
        <v>45078</v>
      </c>
    </row>
    <row r="2767" spans="1:36">
      <c r="A2767" s="1" t="str">
        <f>"ZA13B04ABF"</f>
        <v>ZA13B04ABF</v>
      </c>
      <c r="B2767" s="1" t="str">
        <f t="shared" si="65"/>
        <v>02406911202</v>
      </c>
      <c r="C2767" s="1" t="s">
        <v>13</v>
      </c>
      <c r="D2767" s="1" t="s">
        <v>1741</v>
      </c>
      <c r="E2767" s="1" t="s">
        <v>5718</v>
      </c>
      <c r="F2767" s="1" t="s">
        <v>39</v>
      </c>
      <c r="G2767" s="1" t="str">
        <f>"02047381203"</f>
        <v>02047381203</v>
      </c>
      <c r="I2767" s="1" t="s">
        <v>5719</v>
      </c>
      <c r="L2767" s="1" t="s">
        <v>44</v>
      </c>
      <c r="M2767" s="1" t="s">
        <v>78</v>
      </c>
      <c r="AG2767" s="1" t="s">
        <v>78</v>
      </c>
      <c r="AH2767" s="2">
        <v>45050</v>
      </c>
      <c r="AI2767" s="2">
        <v>45291</v>
      </c>
      <c r="AJ2767" s="2">
        <v>45050</v>
      </c>
    </row>
    <row r="2768" spans="1:36">
      <c r="A2768" s="1" t="str">
        <f>"Z8E3B54814"</f>
        <v>Z8E3B54814</v>
      </c>
      <c r="B2768" s="1" t="str">
        <f t="shared" si="65"/>
        <v>02406911202</v>
      </c>
      <c r="C2768" s="1" t="s">
        <v>13</v>
      </c>
      <c r="D2768" s="1" t="s">
        <v>1253</v>
      </c>
      <c r="E2768" s="1" t="s">
        <v>1270</v>
      </c>
      <c r="F2768" s="1" t="s">
        <v>49</v>
      </c>
      <c r="G2768" s="1" t="str">
        <f>"12317560154"</f>
        <v>12317560154</v>
      </c>
      <c r="I2768" s="1" t="s">
        <v>5720</v>
      </c>
      <c r="L2768" s="1" t="s">
        <v>44</v>
      </c>
      <c r="M2768" s="1" t="s">
        <v>1255</v>
      </c>
      <c r="AG2768" s="1" t="s">
        <v>5721</v>
      </c>
      <c r="AH2768" s="2">
        <v>45072</v>
      </c>
      <c r="AI2768" s="2">
        <v>45291</v>
      </c>
      <c r="AJ2768" s="2">
        <v>45072</v>
      </c>
    </row>
    <row r="2769" spans="1:36">
      <c r="A2769" s="1" t="str">
        <f>"98324033A3"</f>
        <v>98324033A3</v>
      </c>
      <c r="B2769" s="1" t="str">
        <f t="shared" si="65"/>
        <v>02406911202</v>
      </c>
      <c r="C2769" s="1" t="s">
        <v>13</v>
      </c>
      <c r="D2769" s="1" t="s">
        <v>37</v>
      </c>
      <c r="E2769" s="1" t="s">
        <v>5722</v>
      </c>
      <c r="F2769" s="1" t="s">
        <v>39</v>
      </c>
      <c r="G2769" s="1" t="str">
        <f>"08640300961"</f>
        <v>08640300961</v>
      </c>
      <c r="I2769" s="1" t="s">
        <v>5723</v>
      </c>
      <c r="L2769" s="1" t="s">
        <v>44</v>
      </c>
      <c r="M2769" s="1" t="s">
        <v>5724</v>
      </c>
      <c r="AG2769" s="1" t="s">
        <v>124</v>
      </c>
      <c r="AH2769" s="2">
        <v>45074</v>
      </c>
      <c r="AI2769" s="2">
        <v>45291</v>
      </c>
      <c r="AJ2769" s="2">
        <v>45074</v>
      </c>
    </row>
    <row r="2770" spans="1:36">
      <c r="A2770" s="1" t="str">
        <f>"Z423B3AE59"</f>
        <v>Z423B3AE59</v>
      </c>
      <c r="B2770" s="1" t="str">
        <f t="shared" si="65"/>
        <v>02406911202</v>
      </c>
      <c r="C2770" s="1" t="s">
        <v>13</v>
      </c>
      <c r="D2770" s="1" t="s">
        <v>1253</v>
      </c>
      <c r="E2770" s="1" t="s">
        <v>4351</v>
      </c>
      <c r="F2770" s="1" t="s">
        <v>49</v>
      </c>
      <c r="G2770" s="1" t="str">
        <f>"01368670384"</f>
        <v>01368670384</v>
      </c>
      <c r="I2770" s="1" t="s">
        <v>162</v>
      </c>
      <c r="L2770" s="1" t="s">
        <v>44</v>
      </c>
      <c r="M2770" s="1" t="s">
        <v>1255</v>
      </c>
      <c r="AG2770" s="1" t="s">
        <v>5725</v>
      </c>
      <c r="AH2770" s="2">
        <v>45072</v>
      </c>
      <c r="AI2770" s="2">
        <v>45291</v>
      </c>
      <c r="AJ2770" s="2">
        <v>45072</v>
      </c>
    </row>
    <row r="2771" spans="1:36">
      <c r="A2771" s="1" t="str">
        <f>"97225283EB"</f>
        <v>97225283EB</v>
      </c>
      <c r="B2771" s="1" t="str">
        <f t="shared" si="65"/>
        <v>02406911202</v>
      </c>
      <c r="C2771" s="1" t="s">
        <v>13</v>
      </c>
      <c r="D2771" s="1" t="s">
        <v>37</v>
      </c>
      <c r="E2771" s="1" t="s">
        <v>5455</v>
      </c>
      <c r="F2771" s="1" t="s">
        <v>117</v>
      </c>
      <c r="G2771" s="1" t="str">
        <f>"00674840152"</f>
        <v>00674840152</v>
      </c>
      <c r="I2771" s="1" t="s">
        <v>190</v>
      </c>
      <c r="L2771" s="1" t="s">
        <v>44</v>
      </c>
      <c r="M2771" s="1" t="s">
        <v>74</v>
      </c>
      <c r="AG2771" s="1" t="s">
        <v>2391</v>
      </c>
      <c r="AH2771" s="2">
        <v>45017</v>
      </c>
      <c r="AI2771" s="2">
        <v>45199</v>
      </c>
      <c r="AJ2771" s="2">
        <v>45017</v>
      </c>
    </row>
    <row r="2772" spans="1:36">
      <c r="A2772" s="1" t="str">
        <f>"9722547399"</f>
        <v>9722547399</v>
      </c>
      <c r="B2772" s="1" t="str">
        <f t="shared" si="65"/>
        <v>02406911202</v>
      </c>
      <c r="C2772" s="1" t="s">
        <v>13</v>
      </c>
      <c r="D2772" s="1" t="s">
        <v>37</v>
      </c>
      <c r="E2772" s="1" t="s">
        <v>5455</v>
      </c>
      <c r="F2772" s="1" t="s">
        <v>117</v>
      </c>
      <c r="G2772" s="1" t="str">
        <f>"09693591001"</f>
        <v>09693591001</v>
      </c>
      <c r="I2772" s="1" t="s">
        <v>396</v>
      </c>
      <c r="L2772" s="1" t="s">
        <v>44</v>
      </c>
      <c r="M2772" s="1" t="s">
        <v>398</v>
      </c>
      <c r="AG2772" s="1" t="s">
        <v>124</v>
      </c>
      <c r="AH2772" s="2">
        <v>45017</v>
      </c>
      <c r="AI2772" s="2">
        <v>45199</v>
      </c>
      <c r="AJ2772" s="2">
        <v>45017</v>
      </c>
    </row>
    <row r="2773" spans="1:36">
      <c r="A2773" s="1" t="str">
        <f>"972257390C"</f>
        <v>972257390C</v>
      </c>
      <c r="B2773" s="1" t="str">
        <f t="shared" si="65"/>
        <v>02406911202</v>
      </c>
      <c r="C2773" s="1" t="s">
        <v>13</v>
      </c>
      <c r="D2773" s="1" t="s">
        <v>37</v>
      </c>
      <c r="E2773" s="1" t="s">
        <v>5455</v>
      </c>
      <c r="F2773" s="1" t="s">
        <v>117</v>
      </c>
      <c r="G2773" s="1" t="str">
        <f>"01836081008"</f>
        <v>01836081008</v>
      </c>
      <c r="I2773" s="1" t="s">
        <v>4748</v>
      </c>
      <c r="L2773" s="1" t="s">
        <v>44</v>
      </c>
      <c r="M2773" s="1" t="s">
        <v>402</v>
      </c>
      <c r="AG2773" s="1" t="s">
        <v>5726</v>
      </c>
      <c r="AH2773" s="2">
        <v>45017</v>
      </c>
      <c r="AI2773" s="2">
        <v>45199</v>
      </c>
      <c r="AJ2773" s="2">
        <v>45017</v>
      </c>
    </row>
    <row r="2774" spans="1:36">
      <c r="A2774" s="1" t="str">
        <f>"ZB53A94BEB"</f>
        <v>ZB53A94BEB</v>
      </c>
      <c r="B2774" s="1" t="str">
        <f t="shared" si="65"/>
        <v>02406911202</v>
      </c>
      <c r="C2774" s="1" t="s">
        <v>13</v>
      </c>
      <c r="D2774" s="1" t="s">
        <v>205</v>
      </c>
      <c r="E2774" s="1" t="s">
        <v>1686</v>
      </c>
      <c r="F2774" s="1" t="s">
        <v>39</v>
      </c>
      <c r="G2774" s="1" t="str">
        <f>"00685671208"</f>
        <v>00685671208</v>
      </c>
      <c r="I2774" s="1" t="s">
        <v>5727</v>
      </c>
      <c r="L2774" s="1" t="s">
        <v>44</v>
      </c>
      <c r="M2774" s="1" t="s">
        <v>917</v>
      </c>
      <c r="AG2774" s="1" t="s">
        <v>5728</v>
      </c>
      <c r="AH2774" s="2">
        <v>44927</v>
      </c>
      <c r="AI2774" s="2">
        <v>45291</v>
      </c>
      <c r="AJ2774" s="2">
        <v>44927</v>
      </c>
    </row>
    <row r="2775" spans="1:36">
      <c r="A2775" s="1" t="str">
        <f>"9729279704"</f>
        <v>9729279704</v>
      </c>
      <c r="B2775" s="1" t="str">
        <f t="shared" si="65"/>
        <v>02406911202</v>
      </c>
      <c r="C2775" s="1" t="s">
        <v>13</v>
      </c>
      <c r="D2775" s="1" t="s">
        <v>1253</v>
      </c>
      <c r="E2775" s="1" t="s">
        <v>1260</v>
      </c>
      <c r="F2775" s="1" t="s">
        <v>49</v>
      </c>
      <c r="G2775" s="1" t="str">
        <f>"03353370160"</f>
        <v>03353370160</v>
      </c>
      <c r="I2775" s="1" t="s">
        <v>1337</v>
      </c>
      <c r="L2775" s="1" t="s">
        <v>44</v>
      </c>
      <c r="M2775" s="1" t="s">
        <v>2739</v>
      </c>
      <c r="AG2775" s="1" t="s">
        <v>5729</v>
      </c>
      <c r="AH2775" s="2">
        <v>45019</v>
      </c>
      <c r="AI2775" s="2">
        <v>45291</v>
      </c>
      <c r="AJ2775" s="2">
        <v>45019</v>
      </c>
    </row>
    <row r="2776" spans="1:36">
      <c r="A2776" s="1" t="str">
        <f>"97918867F2"</f>
        <v>97918867F2</v>
      </c>
      <c r="B2776" s="1" t="str">
        <f t="shared" si="65"/>
        <v>02406911202</v>
      </c>
      <c r="C2776" s="1" t="s">
        <v>13</v>
      </c>
      <c r="D2776" s="1" t="s">
        <v>37</v>
      </c>
      <c r="E2776" s="1" t="s">
        <v>5730</v>
      </c>
      <c r="F2776" s="1" t="s">
        <v>117</v>
      </c>
      <c r="G2776" s="1" t="str">
        <f>"06202160013"</f>
        <v>06202160013</v>
      </c>
      <c r="I2776" s="1" t="s">
        <v>5731</v>
      </c>
      <c r="L2776" s="1" t="s">
        <v>44</v>
      </c>
      <c r="M2776" s="1" t="s">
        <v>5732</v>
      </c>
      <c r="AG2776" s="1" t="s">
        <v>124</v>
      </c>
      <c r="AH2776" s="2">
        <v>45048</v>
      </c>
      <c r="AI2776" s="2">
        <v>45291</v>
      </c>
      <c r="AJ2776" s="2">
        <v>45048</v>
      </c>
    </row>
    <row r="2777" spans="1:36">
      <c r="A2777" s="1" t="str">
        <f>"97919382DD"</f>
        <v>97919382DD</v>
      </c>
      <c r="B2777" s="1" t="str">
        <f t="shared" si="65"/>
        <v>02406911202</v>
      </c>
      <c r="C2777" s="1" t="s">
        <v>13</v>
      </c>
      <c r="D2777" s="1" t="s">
        <v>37</v>
      </c>
      <c r="E2777" s="1" t="s">
        <v>5733</v>
      </c>
      <c r="F2777" s="1" t="s">
        <v>117</v>
      </c>
      <c r="G2777" s="1" t="str">
        <f>"09695290966"</f>
        <v>09695290966</v>
      </c>
      <c r="I2777" s="1" t="s">
        <v>2986</v>
      </c>
      <c r="L2777" s="1" t="s">
        <v>44</v>
      </c>
      <c r="M2777" s="1" t="s">
        <v>5734</v>
      </c>
      <c r="AG2777" s="1" t="s">
        <v>124</v>
      </c>
      <c r="AH2777" s="2">
        <v>45048</v>
      </c>
      <c r="AI2777" s="2">
        <v>45291</v>
      </c>
      <c r="AJ2777" s="2">
        <v>45048</v>
      </c>
    </row>
    <row r="2778" spans="1:36">
      <c r="A2778" s="1" t="str">
        <f>"9792027C4C"</f>
        <v>9792027C4C</v>
      </c>
      <c r="B2778" s="1" t="str">
        <f t="shared" si="65"/>
        <v>02406911202</v>
      </c>
      <c r="C2778" s="1" t="s">
        <v>13</v>
      </c>
      <c r="D2778" s="1" t="s">
        <v>37</v>
      </c>
      <c r="E2778" s="1" t="s">
        <v>5735</v>
      </c>
      <c r="F2778" s="1" t="s">
        <v>117</v>
      </c>
      <c r="G2778" s="1" t="str">
        <f>"09695290966"</f>
        <v>09695290966</v>
      </c>
      <c r="I2778" s="1" t="s">
        <v>2986</v>
      </c>
      <c r="L2778" s="1" t="s">
        <v>44</v>
      </c>
      <c r="M2778" s="1" t="s">
        <v>5736</v>
      </c>
      <c r="AG2778" s="1" t="s">
        <v>124</v>
      </c>
      <c r="AH2778" s="2">
        <v>45048</v>
      </c>
      <c r="AI2778" s="2">
        <v>45291</v>
      </c>
      <c r="AJ2778" s="2">
        <v>45048</v>
      </c>
    </row>
    <row r="2779" spans="1:36">
      <c r="A2779" s="1" t="str">
        <f>"9792073245"</f>
        <v>9792073245</v>
      </c>
      <c r="B2779" s="1" t="str">
        <f t="shared" si="65"/>
        <v>02406911202</v>
      </c>
      <c r="C2779" s="1" t="s">
        <v>13</v>
      </c>
      <c r="D2779" s="1" t="s">
        <v>37</v>
      </c>
      <c r="E2779" s="1" t="s">
        <v>5735</v>
      </c>
      <c r="F2779" s="1" t="s">
        <v>117</v>
      </c>
      <c r="G2779" s="1" t="str">
        <f>"09695290966"</f>
        <v>09695290966</v>
      </c>
      <c r="I2779" s="1" t="s">
        <v>2986</v>
      </c>
      <c r="L2779" s="1" t="s">
        <v>44</v>
      </c>
      <c r="M2779" s="1" t="s">
        <v>5737</v>
      </c>
      <c r="AG2779" s="1" t="s">
        <v>124</v>
      </c>
      <c r="AH2779" s="2">
        <v>45048</v>
      </c>
      <c r="AI2779" s="2">
        <v>45291</v>
      </c>
      <c r="AJ2779" s="2">
        <v>45048</v>
      </c>
    </row>
    <row r="2780" spans="1:36">
      <c r="A2780" s="1" t="str">
        <f>"97837047F2"</f>
        <v>97837047F2</v>
      </c>
      <c r="B2780" s="1" t="str">
        <f t="shared" si="65"/>
        <v>02406911202</v>
      </c>
      <c r="C2780" s="1" t="s">
        <v>13</v>
      </c>
      <c r="D2780" s="1" t="s">
        <v>1312</v>
      </c>
      <c r="E2780" s="1" t="s">
        <v>5738</v>
      </c>
      <c r="F2780" s="1" t="s">
        <v>49</v>
      </c>
      <c r="G2780" s="1" t="str">
        <f>"09933630155"</f>
        <v>09933630155</v>
      </c>
      <c r="I2780" s="1" t="s">
        <v>2412</v>
      </c>
      <c r="L2780" s="1" t="s">
        <v>44</v>
      </c>
      <c r="M2780" s="1" t="s">
        <v>5739</v>
      </c>
      <c r="AG2780" s="1" t="s">
        <v>5740</v>
      </c>
      <c r="AH2780" s="2">
        <v>45050</v>
      </c>
      <c r="AI2780" s="2">
        <v>45777</v>
      </c>
      <c r="AJ2780" s="2">
        <v>45050</v>
      </c>
    </row>
    <row r="2781" spans="1:36">
      <c r="A2781" s="1" t="str">
        <f>"Z213B3AB56"</f>
        <v>Z213B3AB56</v>
      </c>
      <c r="B2781" s="1" t="str">
        <f t="shared" si="65"/>
        <v>02406911202</v>
      </c>
      <c r="C2781" s="1" t="s">
        <v>13</v>
      </c>
      <c r="D2781" s="1" t="s">
        <v>1253</v>
      </c>
      <c r="E2781" s="1" t="s">
        <v>1260</v>
      </c>
      <c r="F2781" s="1" t="s">
        <v>49</v>
      </c>
      <c r="G2781" s="1" t="str">
        <f>"08082461008"</f>
        <v>08082461008</v>
      </c>
      <c r="I2781" s="1" t="s">
        <v>423</v>
      </c>
      <c r="L2781" s="1" t="s">
        <v>44</v>
      </c>
      <c r="M2781" s="1" t="s">
        <v>1255</v>
      </c>
      <c r="AG2781" s="1" t="s">
        <v>5741</v>
      </c>
      <c r="AH2781" s="2">
        <v>45065</v>
      </c>
      <c r="AI2781" s="2">
        <v>45291</v>
      </c>
      <c r="AJ2781" s="2">
        <v>45065</v>
      </c>
    </row>
    <row r="2782" spans="1:36">
      <c r="A2782" s="1" t="str">
        <f>"Z663B459D4"</f>
        <v>Z663B459D4</v>
      </c>
      <c r="B2782" s="1" t="str">
        <f t="shared" si="65"/>
        <v>02406911202</v>
      </c>
      <c r="C2782" s="1" t="s">
        <v>13</v>
      </c>
      <c r="D2782" s="1" t="s">
        <v>1253</v>
      </c>
      <c r="E2782" s="1" t="s">
        <v>1270</v>
      </c>
      <c r="F2782" s="1" t="s">
        <v>49</v>
      </c>
      <c r="G2782" s="1" t="str">
        <f>"06754140157"</f>
        <v>06754140157</v>
      </c>
      <c r="I2782" s="1" t="s">
        <v>2665</v>
      </c>
      <c r="L2782" s="1" t="s">
        <v>44</v>
      </c>
      <c r="M2782" s="1" t="s">
        <v>1255</v>
      </c>
      <c r="AG2782" s="1" t="s">
        <v>5742</v>
      </c>
      <c r="AH2782" s="2">
        <v>45069</v>
      </c>
      <c r="AI2782" s="2">
        <v>45291</v>
      </c>
      <c r="AJ2782" s="2">
        <v>45069</v>
      </c>
    </row>
    <row r="2783" spans="1:36">
      <c r="A2783" s="1" t="str">
        <f>"Z7D3B1F269"</f>
        <v>Z7D3B1F269</v>
      </c>
      <c r="B2783" s="1" t="str">
        <f t="shared" si="65"/>
        <v>02406911202</v>
      </c>
      <c r="C2783" s="1" t="s">
        <v>13</v>
      </c>
      <c r="D2783" s="1" t="s">
        <v>1253</v>
      </c>
      <c r="E2783" s="1" t="s">
        <v>1317</v>
      </c>
      <c r="F2783" s="1" t="s">
        <v>49</v>
      </c>
      <c r="G2783" s="1" t="str">
        <f>"01630000287"</f>
        <v>01630000287</v>
      </c>
      <c r="I2783" s="1" t="s">
        <v>1470</v>
      </c>
      <c r="L2783" s="1" t="s">
        <v>44</v>
      </c>
      <c r="M2783" s="1" t="s">
        <v>1255</v>
      </c>
      <c r="AG2783" s="1" t="s">
        <v>5743</v>
      </c>
      <c r="AH2783" s="2">
        <v>45069</v>
      </c>
      <c r="AI2783" s="2">
        <v>45291</v>
      </c>
      <c r="AJ2783" s="2">
        <v>45069</v>
      </c>
    </row>
    <row r="2784" spans="1:36">
      <c r="A2784" s="1" t="str">
        <f>"Z973B476B9"</f>
        <v>Z973B476B9</v>
      </c>
      <c r="B2784" s="1" t="str">
        <f t="shared" si="65"/>
        <v>02406911202</v>
      </c>
      <c r="C2784" s="1" t="s">
        <v>13</v>
      </c>
      <c r="D2784" s="1" t="s">
        <v>1257</v>
      </c>
      <c r="E2784" s="1" t="s">
        <v>5744</v>
      </c>
      <c r="F2784" s="1" t="s">
        <v>49</v>
      </c>
      <c r="G2784" s="1" t="str">
        <f>"10308380962"</f>
        <v>10308380962</v>
      </c>
      <c r="I2784" s="1" t="s">
        <v>5745</v>
      </c>
      <c r="L2784" s="1" t="s">
        <v>44</v>
      </c>
      <c r="M2784" s="1" t="s">
        <v>153</v>
      </c>
      <c r="AG2784" s="1" t="s">
        <v>3549</v>
      </c>
      <c r="AH2784" s="2">
        <v>45069</v>
      </c>
      <c r="AI2784" s="2">
        <v>45291</v>
      </c>
      <c r="AJ2784" s="2">
        <v>45069</v>
      </c>
    </row>
    <row r="2785" spans="1:36">
      <c r="A2785" s="1" t="str">
        <f>"ZA13AA852E"</f>
        <v>ZA13AA852E</v>
      </c>
      <c r="B2785" s="1" t="str">
        <f t="shared" si="65"/>
        <v>02406911202</v>
      </c>
      <c r="C2785" s="1" t="s">
        <v>13</v>
      </c>
      <c r="D2785" s="1" t="s">
        <v>1253</v>
      </c>
      <c r="E2785" s="1" t="s">
        <v>1387</v>
      </c>
      <c r="F2785" s="1" t="s">
        <v>49</v>
      </c>
      <c r="G2785" s="1" t="str">
        <f>"01620460186"</f>
        <v>01620460186</v>
      </c>
      <c r="I2785" s="1" t="s">
        <v>3386</v>
      </c>
      <c r="L2785" s="1" t="s">
        <v>44</v>
      </c>
      <c r="M2785" s="1" t="s">
        <v>1255</v>
      </c>
      <c r="AG2785" s="1" t="s">
        <v>4582</v>
      </c>
      <c r="AH2785" s="2">
        <v>45020</v>
      </c>
      <c r="AI2785" s="2">
        <v>45291</v>
      </c>
      <c r="AJ2785" s="2">
        <v>45020</v>
      </c>
    </row>
    <row r="2786" spans="1:36">
      <c r="A2786" s="1" t="str">
        <f>"Z663A730F0"</f>
        <v>Z663A730F0</v>
      </c>
      <c r="B2786" s="1" t="str">
        <f t="shared" si="65"/>
        <v>02406911202</v>
      </c>
      <c r="C2786" s="1" t="s">
        <v>13</v>
      </c>
      <c r="D2786" s="1" t="s">
        <v>1741</v>
      </c>
      <c r="E2786" s="1" t="s">
        <v>5746</v>
      </c>
      <c r="F2786" s="1" t="s">
        <v>39</v>
      </c>
      <c r="G2786" s="1" t="str">
        <f>"09692580963"</f>
        <v>09692580963</v>
      </c>
      <c r="I2786" s="1" t="s">
        <v>5747</v>
      </c>
      <c r="L2786" s="1" t="s">
        <v>44</v>
      </c>
      <c r="M2786" s="1" t="s">
        <v>2272</v>
      </c>
      <c r="AG2786" s="1" t="s">
        <v>2272</v>
      </c>
      <c r="AH2786" s="2">
        <v>45005</v>
      </c>
      <c r="AI2786" s="2">
        <v>45291</v>
      </c>
      <c r="AJ2786" s="2">
        <v>45005</v>
      </c>
    </row>
    <row r="2787" spans="1:36">
      <c r="A2787" s="1" t="str">
        <f>"Z3B3AAA57F"</f>
        <v>Z3B3AAA57F</v>
      </c>
      <c r="B2787" s="1" t="str">
        <f t="shared" si="65"/>
        <v>02406911202</v>
      </c>
      <c r="C2787" s="1" t="s">
        <v>13</v>
      </c>
      <c r="D2787" s="1" t="s">
        <v>1253</v>
      </c>
      <c r="E2787" s="1" t="s">
        <v>1262</v>
      </c>
      <c r="F2787" s="1" t="s">
        <v>49</v>
      </c>
      <c r="G2787" s="1" t="str">
        <f>"02307520243"</f>
        <v>02307520243</v>
      </c>
      <c r="I2787" s="1" t="s">
        <v>1527</v>
      </c>
      <c r="L2787" s="1" t="s">
        <v>44</v>
      </c>
      <c r="M2787" s="1" t="s">
        <v>153</v>
      </c>
      <c r="AG2787" s="1" t="s">
        <v>5748</v>
      </c>
      <c r="AH2787" s="2">
        <v>45020</v>
      </c>
      <c r="AI2787" s="2">
        <v>45291</v>
      </c>
      <c r="AJ2787" s="2">
        <v>45020</v>
      </c>
    </row>
    <row r="2788" spans="1:36">
      <c r="A2788" s="1" t="str">
        <f>"ZB93B11745"</f>
        <v>ZB93B11745</v>
      </c>
      <c r="B2788" s="1" t="str">
        <f t="shared" si="65"/>
        <v>02406911202</v>
      </c>
      <c r="C2788" s="1" t="s">
        <v>13</v>
      </c>
      <c r="D2788" s="1" t="s">
        <v>205</v>
      </c>
      <c r="E2788" s="1" t="s">
        <v>5749</v>
      </c>
      <c r="F2788" s="1" t="s">
        <v>49</v>
      </c>
      <c r="G2788" s="1" t="str">
        <f>"03651950374"</f>
        <v>03651950374</v>
      </c>
      <c r="I2788" s="1" t="s">
        <v>5750</v>
      </c>
      <c r="L2788" s="1" t="s">
        <v>44</v>
      </c>
      <c r="M2788" s="1" t="s">
        <v>5751</v>
      </c>
      <c r="AG2788" s="1" t="s">
        <v>5752</v>
      </c>
      <c r="AH2788" s="2">
        <v>44927</v>
      </c>
      <c r="AI2788" s="2">
        <v>45291</v>
      </c>
      <c r="AJ2788" s="2">
        <v>44927</v>
      </c>
    </row>
    <row r="2789" spans="1:36">
      <c r="A2789" s="1" t="str">
        <f>"Z573B1184F"</f>
        <v>Z573B1184F</v>
      </c>
      <c r="B2789" s="1" t="str">
        <f t="shared" si="65"/>
        <v>02406911202</v>
      </c>
      <c r="C2789" s="1" t="s">
        <v>13</v>
      </c>
      <c r="D2789" s="1" t="s">
        <v>205</v>
      </c>
      <c r="E2789" s="1" t="s">
        <v>5753</v>
      </c>
      <c r="F2789" s="1" t="s">
        <v>49</v>
      </c>
      <c r="G2789" s="1" t="str">
        <f>"02788231203"</f>
        <v>02788231203</v>
      </c>
      <c r="I2789" s="1" t="s">
        <v>5754</v>
      </c>
      <c r="L2789" s="1" t="s">
        <v>44</v>
      </c>
      <c r="M2789" s="1" t="s">
        <v>5755</v>
      </c>
      <c r="AG2789" s="1" t="s">
        <v>5756</v>
      </c>
      <c r="AH2789" s="2">
        <v>44927</v>
      </c>
      <c r="AI2789" s="2">
        <v>45291</v>
      </c>
      <c r="AJ2789" s="2">
        <v>44927</v>
      </c>
    </row>
    <row r="2790" spans="1:36">
      <c r="A2790" s="1" t="str">
        <f>"ZB53B13787"</f>
        <v>ZB53B13787</v>
      </c>
      <c r="B2790" s="1" t="str">
        <f t="shared" si="65"/>
        <v>02406911202</v>
      </c>
      <c r="C2790" s="1" t="s">
        <v>13</v>
      </c>
      <c r="D2790" s="1" t="s">
        <v>205</v>
      </c>
      <c r="E2790" s="1" t="s">
        <v>5757</v>
      </c>
      <c r="F2790" s="1" t="s">
        <v>49</v>
      </c>
      <c r="G2790" s="1" t="str">
        <f>"02561331204"</f>
        <v>02561331204</v>
      </c>
      <c r="I2790" s="1" t="s">
        <v>5758</v>
      </c>
      <c r="L2790" s="1" t="s">
        <v>44</v>
      </c>
      <c r="M2790" s="1" t="s">
        <v>5759</v>
      </c>
      <c r="AG2790" s="1" t="s">
        <v>5760</v>
      </c>
      <c r="AH2790" s="2">
        <v>44927</v>
      </c>
      <c r="AI2790" s="2">
        <v>45291</v>
      </c>
      <c r="AJ2790" s="2">
        <v>44927</v>
      </c>
    </row>
    <row r="2791" spans="1:36">
      <c r="A2791" s="1" t="str">
        <f>"Z303B13AE6"</f>
        <v>Z303B13AE6</v>
      </c>
      <c r="B2791" s="1" t="str">
        <f t="shared" si="65"/>
        <v>02406911202</v>
      </c>
      <c r="C2791" s="1" t="s">
        <v>13</v>
      </c>
      <c r="D2791" s="1" t="s">
        <v>205</v>
      </c>
      <c r="E2791" s="1" t="s">
        <v>5761</v>
      </c>
      <c r="F2791" s="1" t="s">
        <v>49</v>
      </c>
      <c r="G2791" s="1" t="str">
        <f>"01603221209"</f>
        <v>01603221209</v>
      </c>
      <c r="I2791" s="1" t="s">
        <v>5762</v>
      </c>
      <c r="L2791" s="1" t="s">
        <v>44</v>
      </c>
      <c r="M2791" s="1" t="s">
        <v>5763</v>
      </c>
      <c r="AG2791" s="1" t="s">
        <v>5764</v>
      </c>
      <c r="AH2791" s="2">
        <v>44927</v>
      </c>
      <c r="AI2791" s="2">
        <v>45291</v>
      </c>
      <c r="AJ2791" s="2">
        <v>44927</v>
      </c>
    </row>
    <row r="2792" spans="1:36">
      <c r="A2792" s="1" t="str">
        <f>"Z373B1F618"</f>
        <v>Z373B1F618</v>
      </c>
      <c r="B2792" s="1" t="str">
        <f t="shared" si="65"/>
        <v>02406911202</v>
      </c>
      <c r="C2792" s="1" t="s">
        <v>13</v>
      </c>
      <c r="D2792" s="1" t="s">
        <v>1312</v>
      </c>
      <c r="E2792" s="1" t="s">
        <v>5765</v>
      </c>
      <c r="F2792" s="1" t="s">
        <v>49</v>
      </c>
      <c r="G2792" s="1" t="str">
        <f>"01698960547"</f>
        <v>01698960547</v>
      </c>
      <c r="I2792" s="1" t="s">
        <v>5766</v>
      </c>
      <c r="L2792" s="1" t="s">
        <v>44</v>
      </c>
      <c r="M2792" s="1" t="s">
        <v>1735</v>
      </c>
      <c r="AG2792" s="1" t="s">
        <v>5767</v>
      </c>
      <c r="AH2792" s="2">
        <v>44986</v>
      </c>
      <c r="AI2792" s="2">
        <v>45657</v>
      </c>
      <c r="AJ2792" s="2">
        <v>44986</v>
      </c>
    </row>
    <row r="2793" spans="1:36">
      <c r="A2793" s="1" t="str">
        <f>"Z473B2DDE0"</f>
        <v>Z473B2DDE0</v>
      </c>
      <c r="B2793" s="1" t="str">
        <f t="shared" si="65"/>
        <v>02406911202</v>
      </c>
      <c r="C2793" s="1" t="s">
        <v>13</v>
      </c>
      <c r="D2793" s="1" t="s">
        <v>205</v>
      </c>
      <c r="E2793" s="1" t="s">
        <v>5768</v>
      </c>
      <c r="F2793" s="1" t="s">
        <v>49</v>
      </c>
      <c r="G2793" s="1" t="str">
        <f>"02403411206"</f>
        <v>02403411206</v>
      </c>
      <c r="I2793" s="1" t="s">
        <v>5769</v>
      </c>
      <c r="L2793" s="1" t="s">
        <v>44</v>
      </c>
      <c r="M2793" s="1" t="s">
        <v>5770</v>
      </c>
      <c r="AG2793" s="1" t="s">
        <v>5771</v>
      </c>
      <c r="AH2793" s="2">
        <v>44927</v>
      </c>
      <c r="AI2793" s="2">
        <v>45291</v>
      </c>
      <c r="AJ2793" s="2">
        <v>44927</v>
      </c>
    </row>
    <row r="2794" spans="1:36">
      <c r="A2794" s="1" t="str">
        <f>"Z8B3B2DF89"</f>
        <v>Z8B3B2DF89</v>
      </c>
      <c r="B2794" s="1" t="str">
        <f t="shared" si="65"/>
        <v>02406911202</v>
      </c>
      <c r="C2794" s="1" t="s">
        <v>13</v>
      </c>
      <c r="D2794" s="1" t="s">
        <v>205</v>
      </c>
      <c r="E2794" s="1" t="s">
        <v>5772</v>
      </c>
      <c r="F2794" s="1" t="s">
        <v>49</v>
      </c>
      <c r="G2794" s="1" t="str">
        <f>"02713281208"</f>
        <v>02713281208</v>
      </c>
      <c r="I2794" s="1" t="s">
        <v>5773</v>
      </c>
      <c r="L2794" s="1" t="s">
        <v>44</v>
      </c>
      <c r="M2794" s="1" t="s">
        <v>5774</v>
      </c>
      <c r="AG2794" s="1" t="s">
        <v>5775</v>
      </c>
      <c r="AH2794" s="2">
        <v>44927</v>
      </c>
      <c r="AI2794" s="2">
        <v>45291</v>
      </c>
      <c r="AJ2794" s="2">
        <v>44927</v>
      </c>
    </row>
    <row r="2795" spans="1:36">
      <c r="A2795" s="1" t="str">
        <f>"ZA43B2E064"</f>
        <v>ZA43B2E064</v>
      </c>
      <c r="B2795" s="1" t="str">
        <f t="shared" si="65"/>
        <v>02406911202</v>
      </c>
      <c r="C2795" s="1" t="s">
        <v>13</v>
      </c>
      <c r="D2795" s="1" t="s">
        <v>205</v>
      </c>
      <c r="E2795" s="1" t="s">
        <v>5776</v>
      </c>
      <c r="F2795" s="1" t="s">
        <v>49</v>
      </c>
      <c r="G2795" s="1" t="str">
        <f>"02716431206"</f>
        <v>02716431206</v>
      </c>
      <c r="I2795" s="1" t="s">
        <v>5777</v>
      </c>
      <c r="L2795" s="1" t="s">
        <v>44</v>
      </c>
      <c r="M2795" s="1" t="s">
        <v>5778</v>
      </c>
      <c r="AG2795" s="1" t="s">
        <v>5779</v>
      </c>
      <c r="AH2795" s="2">
        <v>44927</v>
      </c>
      <c r="AI2795" s="2">
        <v>45291</v>
      </c>
      <c r="AJ2795" s="2">
        <v>44927</v>
      </c>
    </row>
    <row r="2796" spans="1:36">
      <c r="A2796" s="1" t="str">
        <f>"Z363B2E9F6"</f>
        <v>Z363B2E9F6</v>
      </c>
      <c r="B2796" s="1" t="str">
        <f t="shared" si="65"/>
        <v>02406911202</v>
      </c>
      <c r="C2796" s="1" t="s">
        <v>13</v>
      </c>
      <c r="D2796" s="1" t="s">
        <v>205</v>
      </c>
      <c r="E2796" s="1" t="s">
        <v>5780</v>
      </c>
      <c r="F2796" s="1" t="s">
        <v>49</v>
      </c>
      <c r="G2796" s="1" t="str">
        <f>"03504251202"</f>
        <v>03504251202</v>
      </c>
      <c r="I2796" s="1" t="s">
        <v>5781</v>
      </c>
      <c r="L2796" s="1" t="s">
        <v>44</v>
      </c>
      <c r="M2796" s="1" t="s">
        <v>5782</v>
      </c>
      <c r="AG2796" s="1" t="s">
        <v>5783</v>
      </c>
      <c r="AH2796" s="2">
        <v>44927</v>
      </c>
      <c r="AI2796" s="2">
        <v>45291</v>
      </c>
      <c r="AJ2796" s="2">
        <v>44927</v>
      </c>
    </row>
    <row r="2797" spans="1:36">
      <c r="A2797" s="1" t="str">
        <f>"ZCD3B3B666"</f>
        <v>ZCD3B3B666</v>
      </c>
      <c r="B2797" s="1" t="str">
        <f t="shared" si="65"/>
        <v>02406911202</v>
      </c>
      <c r="C2797" s="1" t="s">
        <v>13</v>
      </c>
      <c r="D2797" s="1" t="s">
        <v>1253</v>
      </c>
      <c r="E2797" s="1" t="s">
        <v>5784</v>
      </c>
      <c r="F2797" s="1" t="s">
        <v>49</v>
      </c>
      <c r="G2797" s="1" t="str">
        <f>"00803890151"</f>
        <v>00803890151</v>
      </c>
      <c r="I2797" s="1" t="s">
        <v>68</v>
      </c>
      <c r="L2797" s="1" t="s">
        <v>44</v>
      </c>
      <c r="M2797" s="1" t="s">
        <v>153</v>
      </c>
      <c r="AG2797" s="1" t="s">
        <v>5785</v>
      </c>
      <c r="AH2797" s="2">
        <v>45065</v>
      </c>
      <c r="AI2797" s="2">
        <v>45291</v>
      </c>
      <c r="AJ2797" s="2">
        <v>45065</v>
      </c>
    </row>
    <row r="2798" spans="1:36">
      <c r="A2798" s="1" t="str">
        <f>"Z093B3C052"</f>
        <v>Z093B3C052</v>
      </c>
      <c r="B2798" s="1" t="str">
        <f t="shared" si="65"/>
        <v>02406911202</v>
      </c>
      <c r="C2798" s="1" t="s">
        <v>13</v>
      </c>
      <c r="D2798" s="1" t="s">
        <v>1312</v>
      </c>
      <c r="E2798" s="1" t="s">
        <v>5786</v>
      </c>
      <c r="F2798" s="1" t="s">
        <v>49</v>
      </c>
      <c r="G2798" s="1" t="str">
        <f>"00674840152"</f>
        <v>00674840152</v>
      </c>
      <c r="I2798" s="1" t="s">
        <v>190</v>
      </c>
      <c r="L2798" s="1" t="s">
        <v>44</v>
      </c>
      <c r="M2798" s="1" t="s">
        <v>1735</v>
      </c>
      <c r="AG2798" s="1" t="s">
        <v>5787</v>
      </c>
      <c r="AH2798" s="2">
        <v>45065</v>
      </c>
      <c r="AI2798" s="2">
        <v>45291</v>
      </c>
      <c r="AJ2798" s="2">
        <v>45065</v>
      </c>
    </row>
    <row r="2799" spans="1:36">
      <c r="A2799" s="1" t="str">
        <f>"ZF33B4C477"</f>
        <v>ZF33B4C477</v>
      </c>
      <c r="B2799" s="1" t="str">
        <f t="shared" si="65"/>
        <v>02406911202</v>
      </c>
      <c r="C2799" s="1" t="s">
        <v>13</v>
      </c>
      <c r="D2799" s="1" t="s">
        <v>1253</v>
      </c>
      <c r="E2799" s="1" t="s">
        <v>1260</v>
      </c>
      <c r="F2799" s="1" t="s">
        <v>49</v>
      </c>
      <c r="G2799" s="1" t="str">
        <f>"07077990013"</f>
        <v>07077990013</v>
      </c>
      <c r="I2799" s="1" t="s">
        <v>5788</v>
      </c>
      <c r="L2799" s="1" t="s">
        <v>44</v>
      </c>
      <c r="M2799" s="1" t="s">
        <v>1255</v>
      </c>
      <c r="AG2799" s="1" t="s">
        <v>124</v>
      </c>
      <c r="AH2799" s="2">
        <v>45070</v>
      </c>
      <c r="AI2799" s="2">
        <v>45291</v>
      </c>
      <c r="AJ2799" s="2">
        <v>45070</v>
      </c>
    </row>
    <row r="2800" spans="1:36">
      <c r="A2800" s="1" t="str">
        <f>"Z7B3B4C37F"</f>
        <v>Z7B3B4C37F</v>
      </c>
      <c r="B2800" s="1" t="str">
        <f t="shared" si="65"/>
        <v>02406911202</v>
      </c>
      <c r="C2800" s="1" t="s">
        <v>13</v>
      </c>
      <c r="D2800" s="1" t="s">
        <v>1312</v>
      </c>
      <c r="E2800" s="1" t="s">
        <v>5789</v>
      </c>
      <c r="F2800" s="1" t="s">
        <v>49</v>
      </c>
      <c r="G2800" s="1" t="str">
        <f>"03587070370"</f>
        <v>03587070370</v>
      </c>
      <c r="I2800" s="1" t="s">
        <v>1548</v>
      </c>
      <c r="L2800" s="1" t="s">
        <v>44</v>
      </c>
      <c r="M2800" s="1" t="s">
        <v>1314</v>
      </c>
      <c r="AG2800" s="1" t="s">
        <v>124</v>
      </c>
      <c r="AH2800" s="2">
        <v>45070</v>
      </c>
      <c r="AI2800" s="2">
        <v>45657</v>
      </c>
      <c r="AJ2800" s="2">
        <v>45070</v>
      </c>
    </row>
    <row r="2801" spans="1:36">
      <c r="A2801" s="1" t="str">
        <f>"978022402B"</f>
        <v>978022402B</v>
      </c>
      <c r="B2801" s="1" t="str">
        <f t="shared" si="65"/>
        <v>02406911202</v>
      </c>
      <c r="C2801" s="1" t="s">
        <v>13</v>
      </c>
      <c r="D2801" s="1" t="s">
        <v>37</v>
      </c>
      <c r="E2801" s="1" t="s">
        <v>5790</v>
      </c>
      <c r="F2801" s="1" t="s">
        <v>39</v>
      </c>
      <c r="G2801" s="1" t="str">
        <f>"00674091202"</f>
        <v>00674091202</v>
      </c>
      <c r="I2801" s="1" t="s">
        <v>4822</v>
      </c>
      <c r="L2801" s="1" t="s">
        <v>44</v>
      </c>
      <c r="M2801" s="1" t="s">
        <v>5791</v>
      </c>
      <c r="AG2801" s="1" t="s">
        <v>124</v>
      </c>
      <c r="AH2801" s="2">
        <v>45055</v>
      </c>
      <c r="AI2801" s="2">
        <v>45785</v>
      </c>
      <c r="AJ2801" s="2">
        <v>45055</v>
      </c>
    </row>
    <row r="2802" spans="1:36">
      <c r="A2802" s="1" t="str">
        <f>"Z2E3B578B8"</f>
        <v>Z2E3B578B8</v>
      </c>
      <c r="B2802" s="1" t="str">
        <f t="shared" si="65"/>
        <v>02406911202</v>
      </c>
      <c r="C2802" s="1" t="s">
        <v>13</v>
      </c>
      <c r="D2802" s="1" t="s">
        <v>1312</v>
      </c>
      <c r="E2802" s="1" t="s">
        <v>5792</v>
      </c>
      <c r="F2802" s="1" t="s">
        <v>49</v>
      </c>
      <c r="G2802" s="1" t="str">
        <f>"02119100358"</f>
        <v>02119100358</v>
      </c>
      <c r="I2802" s="1" t="s">
        <v>5590</v>
      </c>
      <c r="L2802" s="1" t="s">
        <v>44</v>
      </c>
      <c r="M2802" s="1" t="s">
        <v>1314</v>
      </c>
      <c r="AG2802" s="1" t="s">
        <v>5793</v>
      </c>
      <c r="AH2802" s="2">
        <v>45075</v>
      </c>
      <c r="AI2802" s="2">
        <v>46022</v>
      </c>
      <c r="AJ2802" s="2">
        <v>45075</v>
      </c>
    </row>
    <row r="2803" spans="1:36">
      <c r="A2803" s="1" t="str">
        <f>"Z143B18D8E"</f>
        <v>Z143B18D8E</v>
      </c>
      <c r="B2803" s="1" t="str">
        <f t="shared" si="65"/>
        <v>02406911202</v>
      </c>
      <c r="C2803" s="1" t="s">
        <v>13</v>
      </c>
      <c r="D2803" s="1" t="s">
        <v>1253</v>
      </c>
      <c r="E2803" s="1" t="s">
        <v>5794</v>
      </c>
      <c r="F2803" s="1" t="s">
        <v>49</v>
      </c>
      <c r="G2803" s="1" t="str">
        <f>"02173550282"</f>
        <v>02173550282</v>
      </c>
      <c r="I2803" s="1" t="s">
        <v>634</v>
      </c>
      <c r="L2803" s="1" t="s">
        <v>44</v>
      </c>
      <c r="M2803" s="1" t="s">
        <v>1255</v>
      </c>
      <c r="AG2803" s="1" t="s">
        <v>5657</v>
      </c>
      <c r="AH2803" s="2">
        <v>45075</v>
      </c>
      <c r="AI2803" s="2">
        <v>45291</v>
      </c>
      <c r="AJ2803" s="2">
        <v>45075</v>
      </c>
    </row>
    <row r="2804" spans="1:36">
      <c r="A2804" s="1" t="str">
        <f>"Z0D3B58179"</f>
        <v>Z0D3B58179</v>
      </c>
      <c r="B2804" s="1" t="str">
        <f t="shared" si="65"/>
        <v>02406911202</v>
      </c>
      <c r="C2804" s="1" t="s">
        <v>13</v>
      </c>
      <c r="D2804" s="1" t="s">
        <v>1253</v>
      </c>
      <c r="E2804" s="1" t="s">
        <v>5795</v>
      </c>
      <c r="F2804" s="1" t="s">
        <v>49</v>
      </c>
      <c r="G2804" s="1" t="str">
        <f>"09238800156"</f>
        <v>09238800156</v>
      </c>
      <c r="I2804" s="1" t="s">
        <v>88</v>
      </c>
      <c r="L2804" s="1" t="s">
        <v>44</v>
      </c>
      <c r="M2804" s="1" t="s">
        <v>1255</v>
      </c>
      <c r="AG2804" s="1" t="s">
        <v>5796</v>
      </c>
      <c r="AH2804" s="2">
        <v>45075</v>
      </c>
      <c r="AI2804" s="2">
        <v>45291</v>
      </c>
      <c r="AJ2804" s="2">
        <v>45075</v>
      </c>
    </row>
    <row r="2805" spans="1:36">
      <c r="A2805" s="1" t="str">
        <f>"9750157417"</f>
        <v>9750157417</v>
      </c>
      <c r="B2805" s="1" t="str">
        <f t="shared" si="65"/>
        <v>02406911202</v>
      </c>
      <c r="C2805" s="1" t="s">
        <v>13</v>
      </c>
      <c r="D2805" s="1" t="s">
        <v>37</v>
      </c>
      <c r="E2805" s="1" t="s">
        <v>5797</v>
      </c>
      <c r="F2805" s="1" t="s">
        <v>117</v>
      </c>
      <c r="G2805" s="1" t="str">
        <f>"11206730159"</f>
        <v>11206730159</v>
      </c>
      <c r="I2805" s="1" t="s">
        <v>192</v>
      </c>
      <c r="L2805" s="1" t="s">
        <v>44</v>
      </c>
      <c r="M2805" s="1" t="s">
        <v>5798</v>
      </c>
      <c r="AG2805" s="1" t="s">
        <v>5799</v>
      </c>
      <c r="AH2805" s="2">
        <v>45017</v>
      </c>
      <c r="AI2805" s="2">
        <v>45199</v>
      </c>
      <c r="AJ2805" s="2">
        <v>45017</v>
      </c>
    </row>
    <row r="2806" spans="1:36">
      <c r="A2806" s="1" t="str">
        <f>"Z623A9D171"</f>
        <v>Z623A9D171</v>
      </c>
      <c r="B2806" s="1" t="str">
        <f t="shared" si="65"/>
        <v>02406911202</v>
      </c>
      <c r="C2806" s="1" t="s">
        <v>13</v>
      </c>
      <c r="D2806" s="1" t="s">
        <v>37</v>
      </c>
      <c r="E2806" s="1" t="s">
        <v>5800</v>
      </c>
      <c r="F2806" s="1" t="s">
        <v>117</v>
      </c>
      <c r="G2806" s="1" t="str">
        <f>"01167730355"</f>
        <v>01167730355</v>
      </c>
      <c r="I2806" s="1" t="s">
        <v>5801</v>
      </c>
      <c r="L2806" s="1" t="s">
        <v>44</v>
      </c>
      <c r="M2806" s="1" t="s">
        <v>5802</v>
      </c>
      <c r="AG2806" s="1" t="s">
        <v>124</v>
      </c>
      <c r="AH2806" s="2">
        <v>45017</v>
      </c>
      <c r="AI2806" s="2">
        <v>45199</v>
      </c>
      <c r="AJ2806" s="2">
        <v>45017</v>
      </c>
    </row>
    <row r="2807" spans="1:36">
      <c r="A2807" s="1" t="str">
        <f>"ZE23A9D1A0"</f>
        <v>ZE23A9D1A0</v>
      </c>
      <c r="B2807" s="1" t="str">
        <f t="shared" si="65"/>
        <v>02406911202</v>
      </c>
      <c r="C2807" s="1" t="s">
        <v>13</v>
      </c>
      <c r="D2807" s="1" t="s">
        <v>37</v>
      </c>
      <c r="E2807" s="1" t="s">
        <v>5803</v>
      </c>
      <c r="F2807" s="1" t="s">
        <v>117</v>
      </c>
      <c r="G2807" s="1" t="str">
        <f>"00847380961"</f>
        <v>00847380961</v>
      </c>
      <c r="I2807" s="1" t="s">
        <v>1503</v>
      </c>
      <c r="L2807" s="1" t="s">
        <v>44</v>
      </c>
      <c r="M2807" s="1" t="s">
        <v>5804</v>
      </c>
      <c r="AG2807" s="1" t="s">
        <v>5805</v>
      </c>
      <c r="AH2807" s="2">
        <v>45017</v>
      </c>
      <c r="AI2807" s="2">
        <v>45199</v>
      </c>
      <c r="AJ2807" s="2">
        <v>45017</v>
      </c>
    </row>
    <row r="2808" spans="1:36">
      <c r="A2808" s="1" t="str">
        <f>"ZAC3A9D1C7"</f>
        <v>ZAC3A9D1C7</v>
      </c>
      <c r="B2808" s="1" t="str">
        <f t="shared" si="65"/>
        <v>02406911202</v>
      </c>
      <c r="C2808" s="1" t="s">
        <v>13</v>
      </c>
      <c r="D2808" s="1" t="s">
        <v>37</v>
      </c>
      <c r="E2808" s="1" t="s">
        <v>5806</v>
      </c>
      <c r="F2808" s="1" t="s">
        <v>117</v>
      </c>
      <c r="G2808" s="1" t="str">
        <f>"01458881008"</f>
        <v>01458881008</v>
      </c>
      <c r="I2808" s="1" t="s">
        <v>5807</v>
      </c>
      <c r="L2808" s="1" t="s">
        <v>44</v>
      </c>
      <c r="M2808" s="1" t="s">
        <v>2565</v>
      </c>
      <c r="AG2808" s="1" t="s">
        <v>2725</v>
      </c>
      <c r="AH2808" s="2">
        <v>45017</v>
      </c>
      <c r="AI2808" s="2">
        <v>45199</v>
      </c>
      <c r="AJ2808" s="2">
        <v>45017</v>
      </c>
    </row>
    <row r="2809" spans="1:36">
      <c r="A2809" s="1" t="str">
        <f>"ZD23A9D332"</f>
        <v>ZD23A9D332</v>
      </c>
      <c r="B2809" s="1" t="str">
        <f t="shared" si="65"/>
        <v>02406911202</v>
      </c>
      <c r="C2809" s="1" t="s">
        <v>13</v>
      </c>
      <c r="D2809" s="1" t="s">
        <v>37</v>
      </c>
      <c r="E2809" s="1" t="s">
        <v>5808</v>
      </c>
      <c r="F2809" s="1" t="s">
        <v>117</v>
      </c>
      <c r="G2809" s="1" t="str">
        <f>"00458450012"</f>
        <v>00458450012</v>
      </c>
      <c r="I2809" s="1" t="s">
        <v>2453</v>
      </c>
      <c r="L2809" s="1" t="s">
        <v>44</v>
      </c>
      <c r="M2809" s="1" t="s">
        <v>5809</v>
      </c>
      <c r="AG2809" s="1" t="s">
        <v>5810</v>
      </c>
      <c r="AH2809" s="2">
        <v>45017</v>
      </c>
      <c r="AI2809" s="2">
        <v>45199</v>
      </c>
      <c r="AJ2809" s="2">
        <v>45017</v>
      </c>
    </row>
    <row r="2810" spans="1:36">
      <c r="A2810" s="1" t="str">
        <f>"Z8C3A9D1FA"</f>
        <v>Z8C3A9D1FA</v>
      </c>
      <c r="B2810" s="1" t="str">
        <f t="shared" si="65"/>
        <v>02406911202</v>
      </c>
      <c r="C2810" s="1" t="s">
        <v>13</v>
      </c>
      <c r="D2810" s="1" t="s">
        <v>37</v>
      </c>
      <c r="E2810" s="1" t="s">
        <v>5811</v>
      </c>
      <c r="F2810" s="1" t="s">
        <v>117</v>
      </c>
      <c r="G2810" s="1" t="str">
        <f>"03531000820"</f>
        <v>03531000820</v>
      </c>
      <c r="I2810" s="1" t="s">
        <v>5812</v>
      </c>
      <c r="L2810" s="1" t="s">
        <v>44</v>
      </c>
      <c r="M2810" s="1" t="s">
        <v>5813</v>
      </c>
      <c r="AG2810" s="1" t="s">
        <v>5814</v>
      </c>
      <c r="AH2810" s="2">
        <v>45017</v>
      </c>
      <c r="AI2810" s="2">
        <v>45199</v>
      </c>
      <c r="AJ2810" s="2">
        <v>45017</v>
      </c>
    </row>
    <row r="2811" spans="1:36">
      <c r="A2811" s="1" t="str">
        <f>"ZB13A9D225"</f>
        <v>ZB13A9D225</v>
      </c>
      <c r="B2811" s="1" t="str">
        <f t="shared" si="65"/>
        <v>02406911202</v>
      </c>
      <c r="C2811" s="1" t="s">
        <v>13</v>
      </c>
      <c r="D2811" s="1" t="s">
        <v>37</v>
      </c>
      <c r="E2811" s="1" t="s">
        <v>5815</v>
      </c>
      <c r="F2811" s="1" t="s">
        <v>117</v>
      </c>
      <c r="G2811" s="1" t="str">
        <f>"01418430359"</f>
        <v>01418430359</v>
      </c>
      <c r="I2811" s="1" t="s">
        <v>4703</v>
      </c>
      <c r="L2811" s="1" t="s">
        <v>44</v>
      </c>
      <c r="M2811" s="1" t="s">
        <v>5816</v>
      </c>
      <c r="AG2811" s="1" t="s">
        <v>124</v>
      </c>
      <c r="AH2811" s="2">
        <v>45017</v>
      </c>
      <c r="AI2811" s="2">
        <v>45199</v>
      </c>
      <c r="AJ2811" s="2">
        <v>45017</v>
      </c>
    </row>
    <row r="2812" spans="1:36">
      <c r="A2812" s="1" t="str">
        <f>"9677824901"</f>
        <v>9677824901</v>
      </c>
      <c r="B2812" s="1" t="str">
        <f t="shared" si="65"/>
        <v>02406911202</v>
      </c>
      <c r="C2812" s="1" t="s">
        <v>13</v>
      </c>
      <c r="D2812" s="1" t="s">
        <v>37</v>
      </c>
      <c r="E2812" s="1" t="s">
        <v>5817</v>
      </c>
      <c r="F2812" s="1" t="s">
        <v>117</v>
      </c>
      <c r="G2812" s="1" t="str">
        <f>"00488410010"</f>
        <v>00488410010</v>
      </c>
      <c r="I2812" s="1" t="s">
        <v>1200</v>
      </c>
      <c r="L2812" s="1" t="s">
        <v>44</v>
      </c>
      <c r="M2812" s="1" t="s">
        <v>5818</v>
      </c>
      <c r="AG2812" s="1" t="s">
        <v>5819</v>
      </c>
      <c r="AH2812" s="2">
        <v>44986</v>
      </c>
      <c r="AI2812" s="2">
        <v>46220</v>
      </c>
      <c r="AJ2812" s="2">
        <v>44986</v>
      </c>
    </row>
    <row r="2813" spans="1:36">
      <c r="A2813" s="1" t="str">
        <f>"Z7B3ADC624"</f>
        <v>Z7B3ADC624</v>
      </c>
      <c r="B2813" s="1" t="str">
        <f t="shared" si="65"/>
        <v>02406911202</v>
      </c>
      <c r="C2813" s="1" t="s">
        <v>13</v>
      </c>
      <c r="D2813" s="1" t="s">
        <v>1253</v>
      </c>
      <c r="E2813" s="1" t="s">
        <v>1260</v>
      </c>
      <c r="F2813" s="1" t="s">
        <v>49</v>
      </c>
      <c r="G2813" s="1" t="str">
        <f>"11408800966"</f>
        <v>11408800966</v>
      </c>
      <c r="I2813" s="1" t="s">
        <v>1930</v>
      </c>
      <c r="L2813" s="1" t="s">
        <v>44</v>
      </c>
      <c r="M2813" s="1" t="s">
        <v>1255</v>
      </c>
      <c r="AG2813" s="1" t="s">
        <v>5820</v>
      </c>
      <c r="AH2813" s="2">
        <v>45037</v>
      </c>
      <c r="AI2813" s="2">
        <v>45291</v>
      </c>
      <c r="AJ2813" s="2">
        <v>45037</v>
      </c>
    </row>
    <row r="2814" spans="1:36">
      <c r="A2814" s="1" t="str">
        <f>"ZDF3B2FA19"</f>
        <v>ZDF3B2FA19</v>
      </c>
      <c r="B2814" s="1" t="str">
        <f t="shared" si="65"/>
        <v>02406911202</v>
      </c>
      <c r="C2814" s="1" t="s">
        <v>13</v>
      </c>
      <c r="D2814" s="1" t="s">
        <v>205</v>
      </c>
      <c r="E2814" s="1" t="s">
        <v>5821</v>
      </c>
      <c r="F2814" s="1" t="s">
        <v>49</v>
      </c>
      <c r="G2814" s="1" t="str">
        <f>"01917120386"</f>
        <v>01917120386</v>
      </c>
      <c r="I2814" s="1" t="s">
        <v>5822</v>
      </c>
      <c r="L2814" s="1" t="s">
        <v>44</v>
      </c>
      <c r="M2814" s="1" t="s">
        <v>5823</v>
      </c>
      <c r="AG2814" s="1" t="s">
        <v>5824</v>
      </c>
      <c r="AH2814" s="2">
        <v>44927</v>
      </c>
      <c r="AI2814" s="2">
        <v>45291</v>
      </c>
      <c r="AJ2814" s="2">
        <v>44927</v>
      </c>
    </row>
    <row r="2815" spans="1:36">
      <c r="A2815" s="1" t="str">
        <f>"ZE53B34059"</f>
        <v>ZE53B34059</v>
      </c>
      <c r="B2815" s="1" t="str">
        <f t="shared" si="65"/>
        <v>02406911202</v>
      </c>
      <c r="C2815" s="1" t="s">
        <v>13</v>
      </c>
      <c r="D2815" s="1" t="s">
        <v>205</v>
      </c>
      <c r="E2815" s="1" t="s">
        <v>5825</v>
      </c>
      <c r="F2815" s="1" t="s">
        <v>49</v>
      </c>
      <c r="G2815" s="1" t="str">
        <f>"02960331201"</f>
        <v>02960331201</v>
      </c>
      <c r="I2815" s="1" t="s">
        <v>5826</v>
      </c>
      <c r="L2815" s="1" t="s">
        <v>44</v>
      </c>
      <c r="M2815" s="1" t="s">
        <v>5827</v>
      </c>
      <c r="AG2815" s="1" t="s">
        <v>5828</v>
      </c>
      <c r="AH2815" s="2">
        <v>44927</v>
      </c>
      <c r="AI2815" s="2">
        <v>45291</v>
      </c>
      <c r="AJ2815" s="2">
        <v>44927</v>
      </c>
    </row>
    <row r="2816" spans="1:36">
      <c r="A2816" s="1" t="str">
        <f>"Z4D3B3408F"</f>
        <v>Z4D3B3408F</v>
      </c>
      <c r="B2816" s="1" t="str">
        <f t="shared" si="65"/>
        <v>02406911202</v>
      </c>
      <c r="C2816" s="1" t="s">
        <v>13</v>
      </c>
      <c r="D2816" s="1" t="s">
        <v>205</v>
      </c>
      <c r="E2816" s="1" t="s">
        <v>5829</v>
      </c>
      <c r="F2816" s="1" t="s">
        <v>49</v>
      </c>
      <c r="G2816" s="1" t="str">
        <f>"03576691202"</f>
        <v>03576691202</v>
      </c>
      <c r="I2816" s="1" t="s">
        <v>5830</v>
      </c>
      <c r="L2816" s="1" t="s">
        <v>44</v>
      </c>
      <c r="M2816" s="1" t="s">
        <v>5831</v>
      </c>
      <c r="AG2816" s="1" t="s">
        <v>5832</v>
      </c>
      <c r="AH2816" s="2">
        <v>44927</v>
      </c>
      <c r="AI2816" s="2">
        <v>45291</v>
      </c>
      <c r="AJ2816" s="2">
        <v>44927</v>
      </c>
    </row>
    <row r="2817" spans="1:36">
      <c r="A2817" s="1" t="str">
        <f>"Z223B340BC"</f>
        <v>Z223B340BC</v>
      </c>
      <c r="B2817" s="1" t="str">
        <f t="shared" si="65"/>
        <v>02406911202</v>
      </c>
      <c r="C2817" s="1" t="s">
        <v>13</v>
      </c>
      <c r="D2817" s="1" t="s">
        <v>205</v>
      </c>
      <c r="E2817" s="1" t="s">
        <v>5833</v>
      </c>
      <c r="F2817" s="1" t="s">
        <v>49</v>
      </c>
      <c r="G2817" s="1" t="str">
        <f>"03773191204"</f>
        <v>03773191204</v>
      </c>
      <c r="I2817" s="1" t="s">
        <v>5834</v>
      </c>
      <c r="L2817" s="1" t="s">
        <v>44</v>
      </c>
      <c r="M2817" s="1" t="s">
        <v>5835</v>
      </c>
      <c r="AG2817" s="1" t="s">
        <v>5836</v>
      </c>
      <c r="AH2817" s="2">
        <v>44927</v>
      </c>
      <c r="AI2817" s="2">
        <v>45291</v>
      </c>
      <c r="AJ2817" s="2">
        <v>44927</v>
      </c>
    </row>
    <row r="2818" spans="1:36">
      <c r="A2818" s="1" t="str">
        <f>"Z023B340EF"</f>
        <v>Z023B340EF</v>
      </c>
      <c r="B2818" s="1" t="str">
        <f t="shared" si="65"/>
        <v>02406911202</v>
      </c>
      <c r="C2818" s="1" t="s">
        <v>13</v>
      </c>
      <c r="D2818" s="1" t="s">
        <v>205</v>
      </c>
      <c r="E2818" s="1" t="s">
        <v>5837</v>
      </c>
      <c r="F2818" s="1" t="s">
        <v>49</v>
      </c>
      <c r="G2818" s="1" t="str">
        <f>"03803051204"</f>
        <v>03803051204</v>
      </c>
      <c r="I2818" s="1" t="s">
        <v>5838</v>
      </c>
      <c r="L2818" s="1" t="s">
        <v>44</v>
      </c>
      <c r="M2818" s="1" t="s">
        <v>5839</v>
      </c>
      <c r="AG2818" s="1" t="s">
        <v>5840</v>
      </c>
      <c r="AH2818" s="2">
        <v>44927</v>
      </c>
      <c r="AI2818" s="2">
        <v>45291</v>
      </c>
      <c r="AJ2818" s="2">
        <v>44927</v>
      </c>
    </row>
    <row r="2819" spans="1:36">
      <c r="A2819" s="1" t="str">
        <f>"Z6C3B344FE"</f>
        <v>Z6C3B344FE</v>
      </c>
      <c r="B2819" s="1" t="str">
        <f t="shared" si="65"/>
        <v>02406911202</v>
      </c>
      <c r="C2819" s="1" t="s">
        <v>13</v>
      </c>
      <c r="D2819" s="1" t="s">
        <v>205</v>
      </c>
      <c r="E2819" s="1" t="s">
        <v>5841</v>
      </c>
      <c r="F2819" s="1" t="s">
        <v>49</v>
      </c>
      <c r="G2819" s="1" t="str">
        <f>"03926501200"</f>
        <v>03926501200</v>
      </c>
      <c r="I2819" s="1" t="s">
        <v>5842</v>
      </c>
      <c r="L2819" s="1" t="s">
        <v>44</v>
      </c>
      <c r="M2819" s="1" t="s">
        <v>5843</v>
      </c>
      <c r="AG2819" s="1" t="s">
        <v>5844</v>
      </c>
      <c r="AH2819" s="2">
        <v>44927</v>
      </c>
      <c r="AI2819" s="2">
        <v>45291</v>
      </c>
      <c r="AJ2819" s="2">
        <v>44927</v>
      </c>
    </row>
    <row r="2820" spans="1:36">
      <c r="A2820" s="1" t="str">
        <f>"ZC13B34B3C"</f>
        <v>ZC13B34B3C</v>
      </c>
      <c r="B2820" s="1" t="str">
        <f t="shared" si="65"/>
        <v>02406911202</v>
      </c>
      <c r="C2820" s="1" t="s">
        <v>13</v>
      </c>
      <c r="D2820" s="1" t="s">
        <v>205</v>
      </c>
      <c r="E2820" s="1" t="s">
        <v>5845</v>
      </c>
      <c r="F2820" s="1" t="s">
        <v>49</v>
      </c>
      <c r="G2820" s="1" t="str">
        <f>"04040791206"</f>
        <v>04040791206</v>
      </c>
      <c r="I2820" s="1" t="s">
        <v>5846</v>
      </c>
      <c r="L2820" s="1" t="s">
        <v>44</v>
      </c>
      <c r="M2820" s="1" t="s">
        <v>5847</v>
      </c>
      <c r="AG2820" s="1" t="s">
        <v>5848</v>
      </c>
      <c r="AH2820" s="2">
        <v>44927</v>
      </c>
      <c r="AI2820" s="2">
        <v>45291</v>
      </c>
      <c r="AJ2820" s="2">
        <v>44927</v>
      </c>
    </row>
    <row r="2821" spans="1:36">
      <c r="A2821" s="1" t="str">
        <f>"ZC93B34B6E"</f>
        <v>ZC93B34B6E</v>
      </c>
      <c r="B2821" s="1" t="str">
        <f t="shared" si="65"/>
        <v>02406911202</v>
      </c>
      <c r="C2821" s="1" t="s">
        <v>13</v>
      </c>
      <c r="D2821" s="1" t="s">
        <v>205</v>
      </c>
      <c r="E2821" s="1" t="s">
        <v>5849</v>
      </c>
      <c r="F2821" s="1" t="s">
        <v>49</v>
      </c>
      <c r="G2821" s="1" t="str">
        <f>"04039301207"</f>
        <v>04039301207</v>
      </c>
      <c r="I2821" s="1" t="s">
        <v>5850</v>
      </c>
      <c r="L2821" s="1" t="s">
        <v>44</v>
      </c>
      <c r="M2821" s="1" t="s">
        <v>2661</v>
      </c>
      <c r="AG2821" s="1" t="s">
        <v>5851</v>
      </c>
      <c r="AH2821" s="2">
        <v>44927</v>
      </c>
      <c r="AI2821" s="2">
        <v>45291</v>
      </c>
      <c r="AJ2821" s="2">
        <v>44927</v>
      </c>
    </row>
    <row r="2822" spans="1:36">
      <c r="A2822" s="1" t="str">
        <f>"Z903B34BC1"</f>
        <v>Z903B34BC1</v>
      </c>
      <c r="B2822" s="1" t="str">
        <f t="shared" ref="B2822:B2885" si="66">"02406911202"</f>
        <v>02406911202</v>
      </c>
      <c r="C2822" s="1" t="s">
        <v>13</v>
      </c>
      <c r="D2822" s="1" t="s">
        <v>205</v>
      </c>
      <c r="E2822" s="1" t="s">
        <v>5852</v>
      </c>
      <c r="F2822" s="1" t="s">
        <v>49</v>
      </c>
      <c r="G2822" s="1" t="str">
        <f>"04079901205"</f>
        <v>04079901205</v>
      </c>
      <c r="I2822" s="1" t="s">
        <v>5853</v>
      </c>
      <c r="L2822" s="1" t="s">
        <v>44</v>
      </c>
      <c r="M2822" s="1" t="s">
        <v>5854</v>
      </c>
      <c r="AG2822" s="1" t="s">
        <v>5855</v>
      </c>
      <c r="AH2822" s="2">
        <v>44927</v>
      </c>
      <c r="AI2822" s="2">
        <v>45291</v>
      </c>
      <c r="AJ2822" s="2">
        <v>44927</v>
      </c>
    </row>
    <row r="2823" spans="1:36">
      <c r="A2823" s="1" t="str">
        <f>"Z063B479CD"</f>
        <v>Z063B479CD</v>
      </c>
      <c r="B2823" s="1" t="str">
        <f t="shared" si="66"/>
        <v>02406911202</v>
      </c>
      <c r="C2823" s="1" t="s">
        <v>13</v>
      </c>
      <c r="D2823" s="1" t="s">
        <v>1312</v>
      </c>
      <c r="E2823" s="1" t="s">
        <v>5856</v>
      </c>
      <c r="F2823" s="1" t="s">
        <v>49</v>
      </c>
      <c r="G2823" s="1" t="str">
        <f>"01498810280"</f>
        <v>01498810280</v>
      </c>
      <c r="I2823" s="1" t="s">
        <v>1487</v>
      </c>
      <c r="L2823" s="1" t="s">
        <v>44</v>
      </c>
      <c r="M2823" s="1" t="s">
        <v>1735</v>
      </c>
      <c r="AG2823" s="1" t="s">
        <v>5857</v>
      </c>
      <c r="AH2823" s="2">
        <v>45069</v>
      </c>
      <c r="AI2823" s="2">
        <v>45291</v>
      </c>
      <c r="AJ2823" s="2">
        <v>45069</v>
      </c>
    </row>
    <row r="2824" spans="1:36">
      <c r="A2824" s="1" t="str">
        <f>"Z083AB7C33"</f>
        <v>Z083AB7C33</v>
      </c>
      <c r="B2824" s="1" t="str">
        <f t="shared" si="66"/>
        <v>02406911202</v>
      </c>
      <c r="C2824" s="1" t="s">
        <v>13</v>
      </c>
      <c r="D2824" s="1" t="s">
        <v>1312</v>
      </c>
      <c r="E2824" s="1" t="s">
        <v>5858</v>
      </c>
      <c r="F2824" s="1" t="s">
        <v>49</v>
      </c>
      <c r="G2824" s="1" t="str">
        <f>"00674840152"</f>
        <v>00674840152</v>
      </c>
      <c r="I2824" s="1" t="s">
        <v>190</v>
      </c>
      <c r="L2824" s="1" t="s">
        <v>44</v>
      </c>
      <c r="M2824" s="1" t="s">
        <v>3830</v>
      </c>
      <c r="AG2824" s="1" t="s">
        <v>5859</v>
      </c>
      <c r="AH2824" s="2">
        <v>45023</v>
      </c>
      <c r="AI2824" s="2">
        <v>45291</v>
      </c>
      <c r="AJ2824" s="2">
        <v>45023</v>
      </c>
    </row>
    <row r="2825" spans="1:36">
      <c r="A2825" s="1" t="str">
        <f>"Z6F3AD4277"</f>
        <v>Z6F3AD4277</v>
      </c>
      <c r="B2825" s="1" t="str">
        <f t="shared" si="66"/>
        <v>02406911202</v>
      </c>
      <c r="C2825" s="1" t="s">
        <v>13</v>
      </c>
      <c r="D2825" s="1" t="s">
        <v>205</v>
      </c>
      <c r="E2825" s="1" t="s">
        <v>5860</v>
      </c>
      <c r="F2825" s="1" t="s">
        <v>49</v>
      </c>
      <c r="G2825" s="1" t="str">
        <f>"02410141200"</f>
        <v>02410141200</v>
      </c>
      <c r="I2825" s="1" t="s">
        <v>1920</v>
      </c>
      <c r="L2825" s="1" t="s">
        <v>44</v>
      </c>
      <c r="M2825" s="1" t="s">
        <v>5861</v>
      </c>
      <c r="AG2825" s="1" t="s">
        <v>5862</v>
      </c>
      <c r="AH2825" s="2">
        <v>44935</v>
      </c>
      <c r="AI2825" s="2">
        <v>45291</v>
      </c>
      <c r="AJ2825" s="2">
        <v>44935</v>
      </c>
    </row>
    <row r="2826" spans="1:36">
      <c r="A2826" s="1" t="str">
        <f>"Z813AB553D"</f>
        <v>Z813AB553D</v>
      </c>
      <c r="B2826" s="1" t="str">
        <f t="shared" si="66"/>
        <v>02406911202</v>
      </c>
      <c r="C2826" s="1" t="s">
        <v>13</v>
      </c>
      <c r="D2826" s="1" t="s">
        <v>1257</v>
      </c>
      <c r="E2826" s="1" t="s">
        <v>5863</v>
      </c>
      <c r="F2826" s="1" t="s">
        <v>49</v>
      </c>
      <c r="G2826" s="1" t="str">
        <f>"01040690156"</f>
        <v>01040690156</v>
      </c>
      <c r="I2826" s="1" t="s">
        <v>5864</v>
      </c>
      <c r="L2826" s="1" t="s">
        <v>44</v>
      </c>
      <c r="M2826" s="1" t="s">
        <v>5865</v>
      </c>
      <c r="AG2826" s="1" t="s">
        <v>5865</v>
      </c>
      <c r="AH2826" s="2">
        <v>45022</v>
      </c>
      <c r="AI2826" s="2">
        <v>45033</v>
      </c>
      <c r="AJ2826" s="2">
        <v>45022</v>
      </c>
    </row>
    <row r="2827" spans="1:36">
      <c r="A2827" s="1" t="str">
        <f>"Z9F3ADE56A"</f>
        <v>Z9F3ADE56A</v>
      </c>
      <c r="B2827" s="1" t="str">
        <f t="shared" si="66"/>
        <v>02406911202</v>
      </c>
      <c r="C2827" s="1" t="s">
        <v>13</v>
      </c>
      <c r="D2827" s="1" t="s">
        <v>205</v>
      </c>
      <c r="E2827" s="1" t="s">
        <v>5866</v>
      </c>
      <c r="F2827" s="1" t="s">
        <v>49</v>
      </c>
      <c r="G2827" s="1" t="str">
        <f>"01135570370"</f>
        <v>01135570370</v>
      </c>
      <c r="I2827" s="1" t="s">
        <v>5867</v>
      </c>
      <c r="L2827" s="1" t="s">
        <v>44</v>
      </c>
      <c r="M2827" s="1" t="s">
        <v>5868</v>
      </c>
      <c r="AG2827" s="1" t="s">
        <v>124</v>
      </c>
      <c r="AH2827" s="2">
        <v>45036</v>
      </c>
      <c r="AI2827" s="2">
        <v>45291</v>
      </c>
      <c r="AJ2827" s="2">
        <v>45036</v>
      </c>
    </row>
    <row r="2828" spans="1:36">
      <c r="A2828" s="1" t="str">
        <f>"Z013ADAF10"</f>
        <v>Z013ADAF10</v>
      </c>
      <c r="B2828" s="1" t="str">
        <f t="shared" si="66"/>
        <v>02406911202</v>
      </c>
      <c r="C2828" s="1" t="s">
        <v>13</v>
      </c>
      <c r="D2828" s="1" t="s">
        <v>1253</v>
      </c>
      <c r="E2828" s="1" t="s">
        <v>1254</v>
      </c>
      <c r="F2828" s="1" t="s">
        <v>49</v>
      </c>
      <c r="G2828" s="1" t="str">
        <f>"05896100962"</f>
        <v>05896100962</v>
      </c>
      <c r="I2828" s="1" t="s">
        <v>1413</v>
      </c>
      <c r="L2828" s="1" t="s">
        <v>44</v>
      </c>
      <c r="M2828" s="1" t="s">
        <v>1255</v>
      </c>
      <c r="AG2828" s="1" t="s">
        <v>1414</v>
      </c>
      <c r="AH2828" s="2">
        <v>45044</v>
      </c>
      <c r="AI2828" s="2">
        <v>45291</v>
      </c>
      <c r="AJ2828" s="2">
        <v>45044</v>
      </c>
    </row>
    <row r="2829" spans="1:36">
      <c r="A2829" s="1" t="str">
        <f>"Z2C3B298D4"</f>
        <v>Z2C3B298D4</v>
      </c>
      <c r="B2829" s="1" t="str">
        <f t="shared" si="66"/>
        <v>02406911202</v>
      </c>
      <c r="C2829" s="1" t="s">
        <v>13</v>
      </c>
      <c r="D2829" s="1" t="s">
        <v>1312</v>
      </c>
      <c r="E2829" s="1" t="s">
        <v>5869</v>
      </c>
      <c r="F2829" s="1" t="s">
        <v>49</v>
      </c>
      <c r="G2829" s="1" t="str">
        <f>"01991400670"</f>
        <v>01991400670</v>
      </c>
      <c r="I2829" s="1" t="s">
        <v>5870</v>
      </c>
      <c r="L2829" s="1" t="s">
        <v>44</v>
      </c>
      <c r="M2829" s="1" t="s">
        <v>1314</v>
      </c>
      <c r="AG2829" s="1" t="s">
        <v>5871</v>
      </c>
      <c r="AH2829" s="2">
        <v>45061</v>
      </c>
      <c r="AI2829" s="2">
        <v>45291</v>
      </c>
      <c r="AJ2829" s="2">
        <v>45061</v>
      </c>
    </row>
    <row r="2830" spans="1:36">
      <c r="A2830" s="1" t="str">
        <f>"ZAB3B2E14C"</f>
        <v>ZAB3B2E14C</v>
      </c>
      <c r="B2830" s="1" t="str">
        <f t="shared" si="66"/>
        <v>02406911202</v>
      </c>
      <c r="C2830" s="1" t="s">
        <v>13</v>
      </c>
      <c r="D2830" s="1" t="s">
        <v>205</v>
      </c>
      <c r="E2830" s="1" t="s">
        <v>5872</v>
      </c>
      <c r="F2830" s="1" t="s">
        <v>49</v>
      </c>
      <c r="G2830" s="1" t="str">
        <f>"03502261203"</f>
        <v>03502261203</v>
      </c>
      <c r="I2830" s="1" t="s">
        <v>5873</v>
      </c>
      <c r="L2830" s="1" t="s">
        <v>44</v>
      </c>
      <c r="M2830" s="1" t="s">
        <v>5874</v>
      </c>
      <c r="AG2830" s="1" t="s">
        <v>5875</v>
      </c>
      <c r="AH2830" s="2">
        <v>44927</v>
      </c>
      <c r="AI2830" s="2">
        <v>45291</v>
      </c>
      <c r="AJ2830" s="2">
        <v>44927</v>
      </c>
    </row>
    <row r="2831" spans="1:36">
      <c r="A2831" s="1" t="str">
        <f>"9734561DDA"</f>
        <v>9734561DDA</v>
      </c>
      <c r="B2831" s="1" t="str">
        <f t="shared" si="66"/>
        <v>02406911202</v>
      </c>
      <c r="C2831" s="1" t="s">
        <v>13</v>
      </c>
      <c r="D2831" s="1" t="s">
        <v>37</v>
      </c>
      <c r="E2831" s="1" t="s">
        <v>5876</v>
      </c>
      <c r="F2831" s="1" t="s">
        <v>39</v>
      </c>
      <c r="G2831" s="1" t="str">
        <f>"03663160962"</f>
        <v>03663160962</v>
      </c>
      <c r="I2831" s="1" t="s">
        <v>322</v>
      </c>
      <c r="L2831" s="1" t="s">
        <v>44</v>
      </c>
      <c r="M2831" s="1" t="s">
        <v>324</v>
      </c>
      <c r="AG2831" s="1" t="s">
        <v>5877</v>
      </c>
      <c r="AH2831" s="2">
        <v>45013</v>
      </c>
      <c r="AI2831" s="2">
        <v>45199</v>
      </c>
      <c r="AJ2831" s="2">
        <v>45013</v>
      </c>
    </row>
    <row r="2832" spans="1:36">
      <c r="A2832" s="1" t="str">
        <f>"ZDE3B18D18"</f>
        <v>ZDE3B18D18</v>
      </c>
      <c r="B2832" s="1" t="str">
        <f t="shared" si="66"/>
        <v>02406911202</v>
      </c>
      <c r="C2832" s="1" t="s">
        <v>13</v>
      </c>
      <c r="D2832" s="1" t="s">
        <v>1253</v>
      </c>
      <c r="E2832" s="1" t="s">
        <v>1260</v>
      </c>
      <c r="F2832" s="1" t="s">
        <v>49</v>
      </c>
      <c r="G2832" s="1" t="str">
        <f>"06032681006"</f>
        <v>06032681006</v>
      </c>
      <c r="I2832" s="1" t="s">
        <v>1351</v>
      </c>
      <c r="L2832" s="1" t="s">
        <v>44</v>
      </c>
      <c r="M2832" s="1" t="s">
        <v>1255</v>
      </c>
      <c r="AG2832" s="1" t="s">
        <v>5878</v>
      </c>
      <c r="AH2832" s="2">
        <v>45075</v>
      </c>
      <c r="AI2832" s="2">
        <v>45291</v>
      </c>
      <c r="AJ2832" s="2">
        <v>45075</v>
      </c>
    </row>
    <row r="2833" spans="1:36">
      <c r="A2833" s="1" t="str">
        <f>"Z293B591D8"</f>
        <v>Z293B591D8</v>
      </c>
      <c r="B2833" s="1" t="str">
        <f t="shared" si="66"/>
        <v>02406911202</v>
      </c>
      <c r="C2833" s="1" t="s">
        <v>13</v>
      </c>
      <c r="D2833" s="1" t="s">
        <v>1253</v>
      </c>
      <c r="E2833" s="1" t="s">
        <v>3210</v>
      </c>
      <c r="F2833" s="1" t="s">
        <v>49</v>
      </c>
      <c r="G2833" s="1" t="str">
        <f>"02457060032"</f>
        <v>02457060032</v>
      </c>
      <c r="I2833" s="1" t="s">
        <v>1263</v>
      </c>
      <c r="L2833" s="1" t="s">
        <v>44</v>
      </c>
      <c r="M2833" s="1" t="s">
        <v>1255</v>
      </c>
      <c r="AG2833" s="1" t="s">
        <v>5879</v>
      </c>
      <c r="AH2833" s="2">
        <v>45075</v>
      </c>
      <c r="AI2833" s="2">
        <v>45291</v>
      </c>
      <c r="AJ2833" s="2">
        <v>45075</v>
      </c>
    </row>
    <row r="2834" spans="1:36">
      <c r="A2834" s="1" t="str">
        <f>"ZBB3B598D7"</f>
        <v>ZBB3B598D7</v>
      </c>
      <c r="B2834" s="1" t="str">
        <f t="shared" si="66"/>
        <v>02406911202</v>
      </c>
      <c r="C2834" s="1" t="s">
        <v>13</v>
      </c>
      <c r="D2834" s="1" t="s">
        <v>1312</v>
      </c>
      <c r="E2834" s="1" t="s">
        <v>5880</v>
      </c>
      <c r="F2834" s="1" t="s">
        <v>49</v>
      </c>
      <c r="G2834" s="1" t="str">
        <f>"09284460962"</f>
        <v>09284460962</v>
      </c>
      <c r="I2834" s="1" t="s">
        <v>3350</v>
      </c>
      <c r="L2834" s="1" t="s">
        <v>44</v>
      </c>
      <c r="M2834" s="1" t="s">
        <v>1314</v>
      </c>
      <c r="AG2834" s="1" t="s">
        <v>5881</v>
      </c>
      <c r="AH2834" s="2">
        <v>45075</v>
      </c>
      <c r="AI2834" s="2">
        <v>45657</v>
      </c>
      <c r="AJ2834" s="2">
        <v>45075</v>
      </c>
    </row>
    <row r="2835" spans="1:36">
      <c r="A2835" s="1" t="str">
        <f>"9802464132"</f>
        <v>9802464132</v>
      </c>
      <c r="B2835" s="1" t="str">
        <f t="shared" si="66"/>
        <v>02406911202</v>
      </c>
      <c r="C2835" s="1" t="s">
        <v>13</v>
      </c>
      <c r="D2835" s="1" t="s">
        <v>37</v>
      </c>
      <c r="E2835" s="1" t="s">
        <v>5882</v>
      </c>
      <c r="F2835" s="1" t="s">
        <v>39</v>
      </c>
      <c r="G2835" s="1" t="str">
        <f>"01228210371"</f>
        <v>01228210371</v>
      </c>
      <c r="I2835" s="1" t="s">
        <v>1425</v>
      </c>
      <c r="L2835" s="1" t="s">
        <v>44</v>
      </c>
      <c r="M2835" s="1" t="s">
        <v>5883</v>
      </c>
      <c r="AG2835" s="1" t="s">
        <v>5884</v>
      </c>
      <c r="AH2835" s="2">
        <v>45073</v>
      </c>
      <c r="AI2835" s="2">
        <v>45803</v>
      </c>
      <c r="AJ2835" s="2">
        <v>45073</v>
      </c>
    </row>
    <row r="2836" spans="1:36">
      <c r="A2836" s="1" t="str">
        <f>"Z1E3B5A85F"</f>
        <v>Z1E3B5A85F</v>
      </c>
      <c r="B2836" s="1" t="str">
        <f t="shared" si="66"/>
        <v>02406911202</v>
      </c>
      <c r="C2836" s="1" t="s">
        <v>13</v>
      </c>
      <c r="D2836" s="1" t="s">
        <v>1253</v>
      </c>
      <c r="E2836" s="1" t="s">
        <v>3210</v>
      </c>
      <c r="F2836" s="1" t="s">
        <v>49</v>
      </c>
      <c r="G2836" s="1" t="str">
        <f>"08028050014"</f>
        <v>08028050014</v>
      </c>
      <c r="I2836" s="1" t="s">
        <v>5885</v>
      </c>
      <c r="L2836" s="1" t="s">
        <v>44</v>
      </c>
      <c r="M2836" s="1" t="s">
        <v>153</v>
      </c>
      <c r="AG2836" s="1" t="s">
        <v>5886</v>
      </c>
      <c r="AH2836" s="2">
        <v>45075</v>
      </c>
      <c r="AI2836" s="2">
        <v>45291</v>
      </c>
      <c r="AJ2836" s="2">
        <v>45075</v>
      </c>
    </row>
    <row r="2837" spans="1:36">
      <c r="A2837" s="1" t="str">
        <f>"Z833B5AF01"</f>
        <v>Z833B5AF01</v>
      </c>
      <c r="B2837" s="1" t="str">
        <f t="shared" si="66"/>
        <v>02406911202</v>
      </c>
      <c r="C2837" s="1" t="s">
        <v>13</v>
      </c>
      <c r="D2837" s="1" t="s">
        <v>1253</v>
      </c>
      <c r="E2837" s="1" t="s">
        <v>3210</v>
      </c>
      <c r="F2837" s="1" t="s">
        <v>49</v>
      </c>
      <c r="G2837" s="1" t="str">
        <f>"02457060032"</f>
        <v>02457060032</v>
      </c>
      <c r="I2837" s="1" t="s">
        <v>1263</v>
      </c>
      <c r="L2837" s="1" t="s">
        <v>44</v>
      </c>
      <c r="M2837" s="1" t="s">
        <v>1255</v>
      </c>
      <c r="AG2837" s="1" t="s">
        <v>5887</v>
      </c>
      <c r="AH2837" s="2">
        <v>45075</v>
      </c>
      <c r="AI2837" s="2">
        <v>45291</v>
      </c>
      <c r="AJ2837" s="2">
        <v>45075</v>
      </c>
    </row>
    <row r="2838" spans="1:36">
      <c r="A2838" s="1" t="str">
        <f>"984427263E"</f>
        <v>984427263E</v>
      </c>
      <c r="B2838" s="1" t="str">
        <f t="shared" si="66"/>
        <v>02406911202</v>
      </c>
      <c r="C2838" s="1" t="s">
        <v>13</v>
      </c>
      <c r="D2838" s="1" t="s">
        <v>37</v>
      </c>
      <c r="E2838" s="1" t="s">
        <v>5888</v>
      </c>
      <c r="F2838" s="1" t="s">
        <v>39</v>
      </c>
      <c r="G2838" s="1" t="str">
        <f>"05688870483"</f>
        <v>05688870483</v>
      </c>
      <c r="I2838" s="1" t="s">
        <v>264</v>
      </c>
      <c r="L2838" s="1" t="s">
        <v>44</v>
      </c>
      <c r="M2838" s="1" t="s">
        <v>5889</v>
      </c>
      <c r="AG2838" s="1" t="s">
        <v>5890</v>
      </c>
      <c r="AH2838" s="2">
        <v>45078</v>
      </c>
      <c r="AI2838" s="2">
        <v>45808</v>
      </c>
      <c r="AJ2838" s="2">
        <v>45078</v>
      </c>
    </row>
    <row r="2839" spans="1:36">
      <c r="A2839" s="1" t="str">
        <f>"Z683B5D0E8"</f>
        <v>Z683B5D0E8</v>
      </c>
      <c r="B2839" s="1" t="str">
        <f t="shared" si="66"/>
        <v>02406911202</v>
      </c>
      <c r="C2839" s="1" t="s">
        <v>13</v>
      </c>
      <c r="D2839" s="1" t="s">
        <v>1253</v>
      </c>
      <c r="E2839" s="1" t="s">
        <v>1270</v>
      </c>
      <c r="F2839" s="1" t="s">
        <v>49</v>
      </c>
      <c r="G2839" s="1" t="str">
        <f>"12268050155"</f>
        <v>12268050155</v>
      </c>
      <c r="I2839" s="1" t="s">
        <v>2596</v>
      </c>
      <c r="L2839" s="1" t="s">
        <v>44</v>
      </c>
      <c r="M2839" s="1" t="s">
        <v>153</v>
      </c>
      <c r="AG2839" s="1" t="s">
        <v>5891</v>
      </c>
      <c r="AH2839" s="2">
        <v>45076</v>
      </c>
      <c r="AI2839" s="2">
        <v>45291</v>
      </c>
      <c r="AJ2839" s="2">
        <v>45076</v>
      </c>
    </row>
    <row r="2840" spans="1:36">
      <c r="A2840" s="1" t="str">
        <f>"97650359CC"</f>
        <v>97650359CC</v>
      </c>
      <c r="B2840" s="1" t="str">
        <f t="shared" si="66"/>
        <v>02406911202</v>
      </c>
      <c r="C2840" s="1" t="s">
        <v>13</v>
      </c>
      <c r="D2840" s="1" t="s">
        <v>37</v>
      </c>
      <c r="E2840" s="1" t="s">
        <v>5892</v>
      </c>
      <c r="F2840" s="1" t="s">
        <v>117</v>
      </c>
      <c r="G2840" s="1" t="str">
        <f>"05994810488"</f>
        <v>05994810488</v>
      </c>
      <c r="I2840" s="1" t="s">
        <v>3216</v>
      </c>
      <c r="L2840" s="1" t="s">
        <v>44</v>
      </c>
      <c r="M2840" s="1" t="s">
        <v>5893</v>
      </c>
      <c r="AG2840" s="1" t="s">
        <v>124</v>
      </c>
      <c r="AH2840" s="2">
        <v>45023</v>
      </c>
      <c r="AI2840" s="2">
        <v>45291</v>
      </c>
      <c r="AJ2840" s="2">
        <v>45023</v>
      </c>
    </row>
    <row r="2841" spans="1:36">
      <c r="A2841" s="1" t="str">
        <f>"Z603B5E939"</f>
        <v>Z603B5E939</v>
      </c>
      <c r="B2841" s="1" t="str">
        <f t="shared" si="66"/>
        <v>02406911202</v>
      </c>
      <c r="C2841" s="1" t="s">
        <v>13</v>
      </c>
      <c r="D2841" s="1" t="s">
        <v>1253</v>
      </c>
      <c r="E2841" s="1" t="s">
        <v>3210</v>
      </c>
      <c r="F2841" s="1" t="s">
        <v>49</v>
      </c>
      <c r="G2841" s="1" t="str">
        <f>"01099110999"</f>
        <v>01099110999</v>
      </c>
      <c r="I2841" s="1" t="s">
        <v>2498</v>
      </c>
      <c r="L2841" s="1" t="s">
        <v>44</v>
      </c>
      <c r="M2841" s="1" t="s">
        <v>1255</v>
      </c>
      <c r="AG2841" s="1" t="s">
        <v>5894</v>
      </c>
      <c r="AH2841" s="2">
        <v>45076</v>
      </c>
      <c r="AI2841" s="2">
        <v>45291</v>
      </c>
      <c r="AJ2841" s="2">
        <v>45076</v>
      </c>
    </row>
    <row r="2842" spans="1:36">
      <c r="A2842" s="1" t="str">
        <f>"974424555A"</f>
        <v>974424555A</v>
      </c>
      <c r="B2842" s="1" t="str">
        <f t="shared" si="66"/>
        <v>02406911202</v>
      </c>
      <c r="C2842" s="1" t="s">
        <v>13</v>
      </c>
      <c r="D2842" s="1" t="s">
        <v>37</v>
      </c>
      <c r="E2842" s="1" t="s">
        <v>4598</v>
      </c>
      <c r="F2842" s="1" t="s">
        <v>39</v>
      </c>
      <c r="G2842" s="1" t="str">
        <f>"11264670156"</f>
        <v>11264670156</v>
      </c>
      <c r="I2842" s="1" t="s">
        <v>64</v>
      </c>
      <c r="L2842" s="1" t="s">
        <v>44</v>
      </c>
      <c r="M2842" s="1" t="s">
        <v>421</v>
      </c>
      <c r="AG2842" s="1" t="s">
        <v>5895</v>
      </c>
      <c r="AH2842" s="2">
        <v>45017</v>
      </c>
      <c r="AI2842" s="2">
        <v>45291</v>
      </c>
      <c r="AJ2842" s="2">
        <v>45017</v>
      </c>
    </row>
    <row r="2843" spans="1:36">
      <c r="A2843" s="1" t="str">
        <f>"9744255D98"</f>
        <v>9744255D98</v>
      </c>
      <c r="B2843" s="1" t="str">
        <f t="shared" si="66"/>
        <v>02406911202</v>
      </c>
      <c r="C2843" s="1" t="s">
        <v>13</v>
      </c>
      <c r="D2843" s="1" t="s">
        <v>37</v>
      </c>
      <c r="E2843" s="1" t="s">
        <v>4598</v>
      </c>
      <c r="F2843" s="1" t="s">
        <v>39</v>
      </c>
      <c r="G2843" s="1" t="str">
        <f>"11206730159"</f>
        <v>11206730159</v>
      </c>
      <c r="I2843" s="1" t="s">
        <v>192</v>
      </c>
      <c r="L2843" s="1" t="s">
        <v>44</v>
      </c>
      <c r="M2843" s="1" t="s">
        <v>418</v>
      </c>
      <c r="AG2843" s="1" t="s">
        <v>5896</v>
      </c>
      <c r="AH2843" s="2">
        <v>45017</v>
      </c>
      <c r="AI2843" s="2">
        <v>45291</v>
      </c>
      <c r="AJ2843" s="2">
        <v>45017</v>
      </c>
    </row>
    <row r="2844" spans="1:36">
      <c r="A2844" s="1" t="str">
        <f>"9640180034"</f>
        <v>9640180034</v>
      </c>
      <c r="B2844" s="1" t="str">
        <f t="shared" si="66"/>
        <v>02406911202</v>
      </c>
      <c r="C2844" s="1" t="s">
        <v>13</v>
      </c>
      <c r="D2844" s="1" t="s">
        <v>37</v>
      </c>
      <c r="E2844" s="1" t="s">
        <v>5897</v>
      </c>
      <c r="F2844" s="1" t="s">
        <v>117</v>
      </c>
      <c r="G2844" s="1" t="str">
        <f>"00488410010"</f>
        <v>00488410010</v>
      </c>
      <c r="I2844" s="1" t="s">
        <v>1200</v>
      </c>
      <c r="L2844" s="1" t="s">
        <v>44</v>
      </c>
      <c r="M2844" s="1" t="s">
        <v>5898</v>
      </c>
      <c r="AG2844" s="1" t="s">
        <v>5899</v>
      </c>
      <c r="AH2844" s="2">
        <v>44986</v>
      </c>
      <c r="AI2844" s="2">
        <v>46220</v>
      </c>
      <c r="AJ2844" s="2">
        <v>44986</v>
      </c>
    </row>
    <row r="2845" spans="1:36">
      <c r="A2845" s="1" t="str">
        <f>"ZF53A93ADA"</f>
        <v>ZF53A93ADA</v>
      </c>
      <c r="B2845" s="1" t="str">
        <f t="shared" si="66"/>
        <v>02406911202</v>
      </c>
      <c r="C2845" s="1" t="s">
        <v>13</v>
      </c>
      <c r="D2845" s="1" t="s">
        <v>1253</v>
      </c>
      <c r="E2845" s="1" t="s">
        <v>1317</v>
      </c>
      <c r="F2845" s="1" t="s">
        <v>49</v>
      </c>
      <c r="G2845" s="1" t="str">
        <f>"01438290536"</f>
        <v>01438290536</v>
      </c>
      <c r="I2845" s="1" t="s">
        <v>2324</v>
      </c>
      <c r="L2845" s="1" t="s">
        <v>44</v>
      </c>
      <c r="M2845" s="1" t="s">
        <v>1255</v>
      </c>
      <c r="AG2845" s="1" t="s">
        <v>5900</v>
      </c>
      <c r="AH2845" s="2">
        <v>45021</v>
      </c>
      <c r="AI2845" s="2">
        <v>45291</v>
      </c>
      <c r="AJ2845" s="2">
        <v>45021</v>
      </c>
    </row>
    <row r="2846" spans="1:36">
      <c r="A2846" s="1" t="str">
        <f>"ZA13ACB216"</f>
        <v>ZA13ACB216</v>
      </c>
      <c r="B2846" s="1" t="str">
        <f t="shared" si="66"/>
        <v>02406911202</v>
      </c>
      <c r="C2846" s="1" t="s">
        <v>13</v>
      </c>
      <c r="D2846" s="1" t="s">
        <v>1253</v>
      </c>
      <c r="E2846" s="1" t="s">
        <v>1260</v>
      </c>
      <c r="F2846" s="1" t="s">
        <v>49</v>
      </c>
      <c r="G2846" s="1" t="str">
        <f>"06032681006"</f>
        <v>06032681006</v>
      </c>
      <c r="I2846" s="1" t="s">
        <v>1351</v>
      </c>
      <c r="L2846" s="1" t="s">
        <v>44</v>
      </c>
      <c r="M2846" s="1" t="s">
        <v>1255</v>
      </c>
      <c r="AG2846" s="1" t="s">
        <v>5901</v>
      </c>
      <c r="AH2846" s="2">
        <v>45030</v>
      </c>
      <c r="AI2846" s="2">
        <v>45291</v>
      </c>
      <c r="AJ2846" s="2">
        <v>45030</v>
      </c>
    </row>
    <row r="2847" spans="1:36">
      <c r="A2847" s="1" t="str">
        <f>"Z0C3ACB31B"</f>
        <v>Z0C3ACB31B</v>
      </c>
      <c r="B2847" s="1" t="str">
        <f t="shared" si="66"/>
        <v>02406911202</v>
      </c>
      <c r="C2847" s="1" t="s">
        <v>13</v>
      </c>
      <c r="D2847" s="1" t="s">
        <v>1253</v>
      </c>
      <c r="E2847" s="1" t="s">
        <v>1260</v>
      </c>
      <c r="F2847" s="1" t="s">
        <v>49</v>
      </c>
      <c r="G2847" s="1" t="str">
        <f>"06828580966"</f>
        <v>06828580966</v>
      </c>
      <c r="I2847" s="1" t="s">
        <v>3704</v>
      </c>
      <c r="L2847" s="1" t="s">
        <v>44</v>
      </c>
      <c r="M2847" s="1" t="s">
        <v>1255</v>
      </c>
      <c r="AG2847" s="1" t="s">
        <v>5902</v>
      </c>
      <c r="AH2847" s="2">
        <v>45030</v>
      </c>
      <c r="AI2847" s="2">
        <v>45291</v>
      </c>
      <c r="AJ2847" s="2">
        <v>45030</v>
      </c>
    </row>
    <row r="2848" spans="1:36">
      <c r="A2848" s="1" t="str">
        <f>"97162284FE"</f>
        <v>97162284FE</v>
      </c>
      <c r="B2848" s="1" t="str">
        <f t="shared" si="66"/>
        <v>02406911202</v>
      </c>
      <c r="C2848" s="1" t="s">
        <v>13</v>
      </c>
      <c r="D2848" s="1" t="s">
        <v>1312</v>
      </c>
      <c r="E2848" s="1" t="s">
        <v>5903</v>
      </c>
      <c r="F2848" s="1" t="s">
        <v>49</v>
      </c>
      <c r="G2848" s="1" t="str">
        <f>"00674840152"</f>
        <v>00674840152</v>
      </c>
      <c r="I2848" s="1" t="s">
        <v>190</v>
      </c>
      <c r="L2848" s="1" t="s">
        <v>44</v>
      </c>
      <c r="M2848" s="1" t="s">
        <v>2739</v>
      </c>
      <c r="AG2848" s="1" t="s">
        <v>5904</v>
      </c>
      <c r="AH2848" s="2">
        <v>45036</v>
      </c>
      <c r="AI2848" s="2">
        <v>45767</v>
      </c>
      <c r="AJ2848" s="2">
        <v>45036</v>
      </c>
    </row>
    <row r="2849" spans="1:36">
      <c r="A2849" s="1" t="str">
        <f>"ZF03ADC64D"</f>
        <v>ZF03ADC64D</v>
      </c>
      <c r="B2849" s="1" t="str">
        <f t="shared" si="66"/>
        <v>02406911202</v>
      </c>
      <c r="C2849" s="1" t="s">
        <v>13</v>
      </c>
      <c r="D2849" s="1" t="s">
        <v>1253</v>
      </c>
      <c r="E2849" s="1" t="s">
        <v>1260</v>
      </c>
      <c r="F2849" s="1" t="s">
        <v>49</v>
      </c>
      <c r="G2849" s="1" t="str">
        <f>"01975020130"</f>
        <v>01975020130</v>
      </c>
      <c r="I2849" s="1" t="s">
        <v>1737</v>
      </c>
      <c r="L2849" s="1" t="s">
        <v>44</v>
      </c>
      <c r="M2849" s="1" t="s">
        <v>1255</v>
      </c>
      <c r="AG2849" s="1" t="s">
        <v>1738</v>
      </c>
      <c r="AH2849" s="2">
        <v>45048</v>
      </c>
      <c r="AI2849" s="2">
        <v>45291</v>
      </c>
      <c r="AJ2849" s="2">
        <v>45048</v>
      </c>
    </row>
    <row r="2850" spans="1:36">
      <c r="A2850" s="1" t="str">
        <f>"Z1C3B1C98F"</f>
        <v>Z1C3B1C98F</v>
      </c>
      <c r="B2850" s="1" t="str">
        <f t="shared" si="66"/>
        <v>02406911202</v>
      </c>
      <c r="C2850" s="1" t="s">
        <v>13</v>
      </c>
      <c r="D2850" s="1" t="s">
        <v>1312</v>
      </c>
      <c r="E2850" s="1" t="s">
        <v>5905</v>
      </c>
      <c r="F2850" s="1" t="s">
        <v>49</v>
      </c>
      <c r="G2850" s="1" t="str">
        <f>"02125550349"</f>
        <v>02125550349</v>
      </c>
      <c r="I2850" s="1" t="s">
        <v>5091</v>
      </c>
      <c r="L2850" s="1" t="s">
        <v>44</v>
      </c>
      <c r="M2850" s="1" t="s">
        <v>1314</v>
      </c>
      <c r="AG2850" s="1" t="s">
        <v>5906</v>
      </c>
      <c r="AH2850" s="2">
        <v>45057</v>
      </c>
      <c r="AI2850" s="2">
        <v>46022</v>
      </c>
      <c r="AJ2850" s="2">
        <v>45057</v>
      </c>
    </row>
    <row r="2851" spans="1:36">
      <c r="A2851" s="1" t="str">
        <f>"ZCF3B1DE5A"</f>
        <v>ZCF3B1DE5A</v>
      </c>
      <c r="B2851" s="1" t="str">
        <f t="shared" si="66"/>
        <v>02406911202</v>
      </c>
      <c r="C2851" s="1" t="s">
        <v>13</v>
      </c>
      <c r="D2851" s="1" t="s">
        <v>1253</v>
      </c>
      <c r="E2851" s="1" t="s">
        <v>1270</v>
      </c>
      <c r="F2851" s="1" t="s">
        <v>49</v>
      </c>
      <c r="G2851" s="1" t="str">
        <f>"04185110154"</f>
        <v>04185110154</v>
      </c>
      <c r="I2851" s="1" t="s">
        <v>5907</v>
      </c>
      <c r="L2851" s="1" t="s">
        <v>44</v>
      </c>
      <c r="M2851" s="1" t="s">
        <v>1255</v>
      </c>
      <c r="AG2851" s="1" t="s">
        <v>5908</v>
      </c>
      <c r="AH2851" s="2">
        <v>45057</v>
      </c>
      <c r="AI2851" s="2">
        <v>45291</v>
      </c>
      <c r="AJ2851" s="2">
        <v>45057</v>
      </c>
    </row>
    <row r="2852" spans="1:36">
      <c r="A2852" s="1" t="str">
        <f>"ZD93B4963D"</f>
        <v>ZD93B4963D</v>
      </c>
      <c r="B2852" s="1" t="str">
        <f t="shared" si="66"/>
        <v>02406911202</v>
      </c>
      <c r="C2852" s="1" t="s">
        <v>13</v>
      </c>
      <c r="D2852" s="1" t="s">
        <v>1257</v>
      </c>
      <c r="E2852" s="1" t="s">
        <v>5909</v>
      </c>
      <c r="F2852" s="1" t="s">
        <v>49</v>
      </c>
      <c r="G2852" s="1" t="str">
        <f>"01630000287"</f>
        <v>01630000287</v>
      </c>
      <c r="I2852" s="1" t="s">
        <v>1470</v>
      </c>
      <c r="L2852" s="1" t="s">
        <v>44</v>
      </c>
      <c r="M2852" s="1" t="s">
        <v>933</v>
      </c>
      <c r="AG2852" s="1" t="s">
        <v>933</v>
      </c>
      <c r="AH2852" s="2">
        <v>45070</v>
      </c>
      <c r="AI2852" s="2">
        <v>45291</v>
      </c>
      <c r="AJ2852" s="2">
        <v>45070</v>
      </c>
    </row>
    <row r="2853" spans="1:36">
      <c r="A2853" s="1" t="str">
        <f>"Z463B4A877"</f>
        <v>Z463B4A877</v>
      </c>
      <c r="B2853" s="1" t="str">
        <f t="shared" si="66"/>
        <v>02406911202</v>
      </c>
      <c r="C2853" s="1" t="s">
        <v>13</v>
      </c>
      <c r="D2853" s="1" t="s">
        <v>1253</v>
      </c>
      <c r="E2853" s="1" t="s">
        <v>5910</v>
      </c>
      <c r="F2853" s="1" t="s">
        <v>49</v>
      </c>
      <c r="G2853" s="1" t="str">
        <f>"13209130155"</f>
        <v>13209130155</v>
      </c>
      <c r="I2853" s="1" t="s">
        <v>2474</v>
      </c>
      <c r="L2853" s="1" t="s">
        <v>44</v>
      </c>
      <c r="M2853" s="1" t="s">
        <v>1255</v>
      </c>
      <c r="AG2853" s="1" t="s">
        <v>5911</v>
      </c>
      <c r="AH2853" s="2">
        <v>45070</v>
      </c>
      <c r="AI2853" s="2">
        <v>45291</v>
      </c>
      <c r="AJ2853" s="2">
        <v>45070</v>
      </c>
    </row>
    <row r="2854" spans="1:36">
      <c r="A2854" s="1" t="str">
        <f>"9381745CE1"</f>
        <v>9381745CE1</v>
      </c>
      <c r="B2854" s="1" t="str">
        <f t="shared" si="66"/>
        <v>02406911202</v>
      </c>
      <c r="C2854" s="1" t="s">
        <v>13</v>
      </c>
      <c r="D2854" s="1" t="s">
        <v>37</v>
      </c>
      <c r="E2854" s="1" t="s">
        <v>5912</v>
      </c>
      <c r="F2854" s="1" t="s">
        <v>431</v>
      </c>
      <c r="G2854" s="1" t="str">
        <f>"12572900152"</f>
        <v>12572900152</v>
      </c>
      <c r="I2854" s="1" t="s">
        <v>5913</v>
      </c>
      <c r="J2854" s="1" t="s">
        <v>5914</v>
      </c>
      <c r="K2854" s="1" t="s">
        <v>51</v>
      </c>
      <c r="AJ2854" s="2">
        <v>45064</v>
      </c>
    </row>
    <row r="2855" spans="1:36">
      <c r="A2855" s="1" t="str">
        <f>"9381745CE1"</f>
        <v>9381745CE1</v>
      </c>
      <c r="B2855" s="1" t="str">
        <f t="shared" si="66"/>
        <v>02406911202</v>
      </c>
      <c r="C2855" s="1" t="s">
        <v>13</v>
      </c>
      <c r="D2855" s="1" t="s">
        <v>37</v>
      </c>
      <c r="E2855" s="1" t="s">
        <v>5912</v>
      </c>
      <c r="F2855" s="1" t="s">
        <v>431</v>
      </c>
      <c r="G2855" s="1" t="str">
        <f>"07091970967"</f>
        <v>07091970967</v>
      </c>
      <c r="I2855" s="1" t="s">
        <v>5915</v>
      </c>
      <c r="J2855" s="1" t="s">
        <v>5914</v>
      </c>
      <c r="K2855" s="1" t="s">
        <v>53</v>
      </c>
      <c r="AJ2855" s="2">
        <v>45064</v>
      </c>
    </row>
    <row r="2856" spans="1:36">
      <c r="A2856" s="1" t="str">
        <f>"9381745CE1"</f>
        <v>9381745CE1</v>
      </c>
      <c r="B2856" s="1" t="str">
        <f t="shared" si="66"/>
        <v>02406911202</v>
      </c>
      <c r="C2856" s="1" t="s">
        <v>13</v>
      </c>
      <c r="D2856" s="1" t="s">
        <v>37</v>
      </c>
      <c r="E2856" s="1" t="s">
        <v>5912</v>
      </c>
      <c r="F2856" s="1" t="s">
        <v>431</v>
      </c>
      <c r="G2856" s="1" t="str">
        <f>"06032681006"</f>
        <v>06032681006</v>
      </c>
      <c r="I2856" s="1" t="s">
        <v>1351</v>
      </c>
      <c r="J2856" s="1" t="s">
        <v>5914</v>
      </c>
      <c r="K2856" s="1" t="s">
        <v>51</v>
      </c>
      <c r="AJ2856" s="2">
        <v>45064</v>
      </c>
    </row>
    <row r="2857" spans="1:36">
      <c r="A2857" s="1" t="str">
        <f>"9381745CE1"</f>
        <v>9381745CE1</v>
      </c>
      <c r="B2857" s="1" t="str">
        <f t="shared" si="66"/>
        <v>02406911202</v>
      </c>
      <c r="C2857" s="1" t="s">
        <v>13</v>
      </c>
      <c r="D2857" s="1" t="s">
        <v>37</v>
      </c>
      <c r="E2857" s="1" t="s">
        <v>5912</v>
      </c>
      <c r="F2857" s="1" t="s">
        <v>431</v>
      </c>
      <c r="I2857" s="1" t="s">
        <v>5914</v>
      </c>
      <c r="L2857" s="1" t="s">
        <v>41</v>
      </c>
      <c r="AJ2857" s="2">
        <v>45064</v>
      </c>
    </row>
    <row r="2858" spans="1:36">
      <c r="A2858" s="1" t="str">
        <f>"ZC33B4B1A5"</f>
        <v>ZC33B4B1A5</v>
      </c>
      <c r="B2858" s="1" t="str">
        <f t="shared" si="66"/>
        <v>02406911202</v>
      </c>
      <c r="C2858" s="1" t="s">
        <v>13</v>
      </c>
      <c r="D2858" s="1" t="s">
        <v>1253</v>
      </c>
      <c r="E2858" s="1" t="s">
        <v>1260</v>
      </c>
      <c r="F2858" s="1" t="s">
        <v>49</v>
      </c>
      <c r="G2858" s="1" t="str">
        <f>"02803471206"</f>
        <v>02803471206</v>
      </c>
      <c r="I2858" s="1" t="s">
        <v>1638</v>
      </c>
      <c r="L2858" s="1" t="s">
        <v>44</v>
      </c>
      <c r="M2858" s="1" t="s">
        <v>1255</v>
      </c>
      <c r="AG2858" s="1" t="s">
        <v>1684</v>
      </c>
      <c r="AH2858" s="2">
        <v>45070</v>
      </c>
      <c r="AI2858" s="2">
        <v>45291</v>
      </c>
      <c r="AJ2858" s="2">
        <v>45070</v>
      </c>
    </row>
    <row r="2859" spans="1:36">
      <c r="A2859" s="1" t="str">
        <f>"ZC03B18DD5"</f>
        <v>ZC03B18DD5</v>
      </c>
      <c r="B2859" s="1" t="str">
        <f t="shared" si="66"/>
        <v>02406911202</v>
      </c>
      <c r="C2859" s="1" t="s">
        <v>13</v>
      </c>
      <c r="D2859" s="1" t="s">
        <v>1253</v>
      </c>
      <c r="E2859" s="1" t="s">
        <v>1254</v>
      </c>
      <c r="F2859" s="1" t="s">
        <v>49</v>
      </c>
      <c r="G2859" s="1" t="str">
        <f>"02504130366"</f>
        <v>02504130366</v>
      </c>
      <c r="I2859" s="1" t="s">
        <v>3596</v>
      </c>
      <c r="L2859" s="1" t="s">
        <v>44</v>
      </c>
      <c r="M2859" s="1" t="s">
        <v>1255</v>
      </c>
      <c r="AG2859" s="1" t="s">
        <v>5916</v>
      </c>
      <c r="AH2859" s="2">
        <v>45070</v>
      </c>
      <c r="AI2859" s="2">
        <v>45291</v>
      </c>
      <c r="AJ2859" s="2">
        <v>45070</v>
      </c>
    </row>
    <row r="2860" spans="1:36">
      <c r="A2860" s="1" t="str">
        <f>"Z283B4CA8A"</f>
        <v>Z283B4CA8A</v>
      </c>
      <c r="B2860" s="1" t="str">
        <f t="shared" si="66"/>
        <v>02406911202</v>
      </c>
      <c r="C2860" s="1" t="s">
        <v>13</v>
      </c>
      <c r="D2860" s="1" t="s">
        <v>1257</v>
      </c>
      <c r="E2860" s="1" t="s">
        <v>5917</v>
      </c>
      <c r="F2860" s="1" t="s">
        <v>49</v>
      </c>
      <c r="G2860" s="1" t="str">
        <f>"04311220265"</f>
        <v>04311220265</v>
      </c>
      <c r="I2860" s="1" t="s">
        <v>882</v>
      </c>
      <c r="L2860" s="1" t="s">
        <v>41</v>
      </c>
      <c r="AJ2860" s="2">
        <v>45070</v>
      </c>
    </row>
    <row r="2861" spans="1:36">
      <c r="A2861" s="1" t="str">
        <f>"Z283B4CA8A"</f>
        <v>Z283B4CA8A</v>
      </c>
      <c r="B2861" s="1" t="str">
        <f t="shared" si="66"/>
        <v>02406911202</v>
      </c>
      <c r="C2861" s="1" t="s">
        <v>13</v>
      </c>
      <c r="D2861" s="1" t="s">
        <v>1257</v>
      </c>
      <c r="E2861" s="1" t="s">
        <v>5917</v>
      </c>
      <c r="F2861" s="1" t="s">
        <v>49</v>
      </c>
      <c r="G2861" s="1" t="str">
        <f>"00805390283"</f>
        <v>00805390283</v>
      </c>
      <c r="I2861" s="1" t="s">
        <v>3576</v>
      </c>
      <c r="L2861" s="1" t="s">
        <v>44</v>
      </c>
      <c r="M2861" s="1" t="s">
        <v>5918</v>
      </c>
      <c r="AG2861" s="1" t="s">
        <v>124</v>
      </c>
      <c r="AH2861" s="2">
        <v>45070</v>
      </c>
      <c r="AI2861" s="2">
        <v>45174</v>
      </c>
      <c r="AJ2861" s="2">
        <v>45070</v>
      </c>
    </row>
    <row r="2862" spans="1:36">
      <c r="A2862" s="1" t="str">
        <f>"Z283B4CA8A"</f>
        <v>Z283B4CA8A</v>
      </c>
      <c r="B2862" s="1" t="str">
        <f t="shared" si="66"/>
        <v>02406911202</v>
      </c>
      <c r="C2862" s="1" t="s">
        <v>13</v>
      </c>
      <c r="D2862" s="1" t="s">
        <v>1257</v>
      </c>
      <c r="E2862" s="1" t="s">
        <v>5917</v>
      </c>
      <c r="F2862" s="1" t="s">
        <v>49</v>
      </c>
      <c r="G2862" s="1" t="str">
        <f>"01167730355"</f>
        <v>01167730355</v>
      </c>
      <c r="I2862" s="1" t="s">
        <v>5801</v>
      </c>
      <c r="L2862" s="1" t="s">
        <v>41</v>
      </c>
      <c r="AJ2862" s="2">
        <v>45070</v>
      </c>
    </row>
    <row r="2863" spans="1:36">
      <c r="A2863" s="1" t="str">
        <f>"9838546101"</f>
        <v>9838546101</v>
      </c>
      <c r="B2863" s="1" t="str">
        <f t="shared" si="66"/>
        <v>02406911202</v>
      </c>
      <c r="C2863" s="1" t="s">
        <v>13</v>
      </c>
      <c r="D2863" s="1" t="s">
        <v>37</v>
      </c>
      <c r="E2863" s="1" t="s">
        <v>5919</v>
      </c>
      <c r="F2863" s="1" t="s">
        <v>117</v>
      </c>
      <c r="G2863" s="1" t="str">
        <f>"00856750153"</f>
        <v>00856750153</v>
      </c>
      <c r="I2863" s="1" t="s">
        <v>40</v>
      </c>
      <c r="L2863" s="1" t="s">
        <v>44</v>
      </c>
      <c r="M2863" s="1" t="s">
        <v>5920</v>
      </c>
      <c r="AG2863" s="1" t="s">
        <v>124</v>
      </c>
      <c r="AH2863" s="2">
        <v>45070</v>
      </c>
      <c r="AI2863" s="2">
        <v>45291</v>
      </c>
      <c r="AJ2863" s="2">
        <v>45070</v>
      </c>
    </row>
    <row r="2864" spans="1:36">
      <c r="A2864" s="1" t="str">
        <f>"Z983A8BEC2"</f>
        <v>Z983A8BEC2</v>
      </c>
      <c r="B2864" s="1" t="str">
        <f t="shared" si="66"/>
        <v>02406911202</v>
      </c>
      <c r="C2864" s="1" t="s">
        <v>13</v>
      </c>
      <c r="D2864" s="1" t="s">
        <v>1253</v>
      </c>
      <c r="E2864" s="1" t="s">
        <v>1262</v>
      </c>
      <c r="F2864" s="1" t="s">
        <v>49</v>
      </c>
      <c r="G2864" s="1" t="str">
        <f>"02789580590"</f>
        <v>02789580590</v>
      </c>
      <c r="I2864" s="1" t="s">
        <v>1827</v>
      </c>
      <c r="L2864" s="1" t="s">
        <v>44</v>
      </c>
      <c r="M2864" s="1" t="s">
        <v>1255</v>
      </c>
      <c r="AG2864" s="1" t="s">
        <v>5921</v>
      </c>
      <c r="AH2864" s="2">
        <v>45012</v>
      </c>
      <c r="AI2864" s="2">
        <v>45291</v>
      </c>
      <c r="AJ2864" s="2">
        <v>45012</v>
      </c>
    </row>
    <row r="2865" spans="1:36">
      <c r="A2865" s="1" t="str">
        <f>"966926738D"</f>
        <v>966926738D</v>
      </c>
      <c r="B2865" s="1" t="str">
        <f t="shared" si="66"/>
        <v>02406911202</v>
      </c>
      <c r="C2865" s="1" t="s">
        <v>13</v>
      </c>
      <c r="D2865" s="1" t="s">
        <v>1312</v>
      </c>
      <c r="E2865" s="1" t="s">
        <v>5922</v>
      </c>
      <c r="F2865" s="1" t="s">
        <v>49</v>
      </c>
      <c r="G2865" s="1" t="str">
        <f>"07077990013"</f>
        <v>07077990013</v>
      </c>
      <c r="I2865" s="1" t="s">
        <v>5788</v>
      </c>
      <c r="L2865" s="1" t="s">
        <v>44</v>
      </c>
      <c r="M2865" s="1" t="s">
        <v>5923</v>
      </c>
      <c r="AG2865" s="1" t="s">
        <v>5924</v>
      </c>
      <c r="AH2865" s="2">
        <v>45019</v>
      </c>
      <c r="AI2865" s="2">
        <v>45380</v>
      </c>
      <c r="AJ2865" s="2">
        <v>45019</v>
      </c>
    </row>
    <row r="2866" spans="1:36">
      <c r="A2866" s="1" t="str">
        <f>"Z623AA461E"</f>
        <v>Z623AA461E</v>
      </c>
      <c r="B2866" s="1" t="str">
        <f t="shared" si="66"/>
        <v>02406911202</v>
      </c>
      <c r="C2866" s="1" t="s">
        <v>13</v>
      </c>
      <c r="D2866" s="1" t="s">
        <v>37</v>
      </c>
      <c r="E2866" s="1" t="s">
        <v>5925</v>
      </c>
      <c r="F2866" s="1" t="s">
        <v>39</v>
      </c>
      <c r="G2866" s="1" t="str">
        <f>"02642020156"</f>
        <v>02642020156</v>
      </c>
      <c r="I2866" s="1" t="s">
        <v>253</v>
      </c>
      <c r="L2866" s="1" t="s">
        <v>44</v>
      </c>
      <c r="M2866" s="1" t="s">
        <v>350</v>
      </c>
      <c r="AG2866" s="1" t="s">
        <v>124</v>
      </c>
      <c r="AH2866" s="2">
        <v>45020</v>
      </c>
      <c r="AI2866" s="2">
        <v>45199</v>
      </c>
      <c r="AJ2866" s="2">
        <v>45020</v>
      </c>
    </row>
    <row r="2867" spans="1:36">
      <c r="A2867" s="1" t="str">
        <f>"2023000639"</f>
        <v>2023000639</v>
      </c>
      <c r="B2867" s="1" t="str">
        <f t="shared" si="66"/>
        <v>02406911202</v>
      </c>
      <c r="C2867" s="1" t="s">
        <v>13</v>
      </c>
      <c r="D2867" s="1" t="s">
        <v>37</v>
      </c>
      <c r="E2867" s="1" t="s">
        <v>5926</v>
      </c>
      <c r="F2867" s="1" t="s">
        <v>4869</v>
      </c>
      <c r="G2867" s="1" t="str">
        <f>"02770891204"</f>
        <v>02770891204</v>
      </c>
      <c r="I2867" s="1" t="s">
        <v>4870</v>
      </c>
      <c r="L2867" s="1" t="s">
        <v>44</v>
      </c>
      <c r="M2867" s="1" t="s">
        <v>5927</v>
      </c>
      <c r="AG2867" s="1" t="s">
        <v>124</v>
      </c>
      <c r="AH2867" s="2">
        <v>44927</v>
      </c>
      <c r="AI2867" s="2">
        <v>45291</v>
      </c>
      <c r="AJ2867" s="2">
        <v>44927</v>
      </c>
    </row>
    <row r="2868" spans="1:36">
      <c r="A2868" s="1" t="str">
        <f>"Z1D3AC2985"</f>
        <v>Z1D3AC2985</v>
      </c>
      <c r="B2868" s="1" t="str">
        <f t="shared" si="66"/>
        <v>02406911202</v>
      </c>
      <c r="C2868" s="1" t="s">
        <v>13</v>
      </c>
      <c r="D2868" s="1" t="s">
        <v>1253</v>
      </c>
      <c r="E2868" s="1" t="s">
        <v>1254</v>
      </c>
      <c r="F2868" s="1" t="s">
        <v>49</v>
      </c>
      <c r="G2868" s="1" t="str">
        <f>"11575580151"</f>
        <v>11575580151</v>
      </c>
      <c r="I2868" s="1" t="s">
        <v>290</v>
      </c>
      <c r="L2868" s="1" t="s">
        <v>44</v>
      </c>
      <c r="M2868" s="1" t="s">
        <v>1255</v>
      </c>
      <c r="AG2868" s="1" t="s">
        <v>5928</v>
      </c>
      <c r="AH2868" s="2">
        <v>45029</v>
      </c>
      <c r="AI2868" s="2">
        <v>45291</v>
      </c>
      <c r="AJ2868" s="2">
        <v>45029</v>
      </c>
    </row>
    <row r="2869" spans="1:36">
      <c r="A2869" s="1" t="str">
        <f>"Z0E3AD3AF3"</f>
        <v>Z0E3AD3AF3</v>
      </c>
      <c r="B2869" s="1" t="str">
        <f t="shared" si="66"/>
        <v>02406911202</v>
      </c>
      <c r="C2869" s="1" t="s">
        <v>13</v>
      </c>
      <c r="D2869" s="1" t="s">
        <v>1253</v>
      </c>
      <c r="E2869" s="1" t="s">
        <v>1254</v>
      </c>
      <c r="F2869" s="1" t="s">
        <v>49</v>
      </c>
      <c r="G2869" s="1" t="str">
        <f>"00474010345"</f>
        <v>00474010345</v>
      </c>
      <c r="I2869" s="1" t="s">
        <v>814</v>
      </c>
      <c r="L2869" s="1" t="s">
        <v>44</v>
      </c>
      <c r="M2869" s="1" t="s">
        <v>1255</v>
      </c>
      <c r="AG2869" s="1" t="s">
        <v>3438</v>
      </c>
      <c r="AH2869" s="2">
        <v>45034</v>
      </c>
      <c r="AI2869" s="2">
        <v>45291</v>
      </c>
      <c r="AJ2869" s="2">
        <v>45034</v>
      </c>
    </row>
    <row r="2870" spans="1:36">
      <c r="A2870" s="1" t="str">
        <f>"ZEF3AD40B0"</f>
        <v>ZEF3AD40B0</v>
      </c>
      <c r="B2870" s="1" t="str">
        <f t="shared" si="66"/>
        <v>02406911202</v>
      </c>
      <c r="C2870" s="1" t="s">
        <v>13</v>
      </c>
      <c r="D2870" s="1" t="s">
        <v>1253</v>
      </c>
      <c r="E2870" s="1" t="s">
        <v>1254</v>
      </c>
      <c r="F2870" s="1" t="s">
        <v>49</v>
      </c>
      <c r="G2870" s="1" t="str">
        <f>"04156880371"</f>
        <v>04156880371</v>
      </c>
      <c r="I2870" s="1" t="s">
        <v>1307</v>
      </c>
      <c r="L2870" s="1" t="s">
        <v>44</v>
      </c>
      <c r="M2870" s="1" t="s">
        <v>1255</v>
      </c>
      <c r="AG2870" s="1" t="s">
        <v>5929</v>
      </c>
      <c r="AH2870" s="2">
        <v>45034</v>
      </c>
      <c r="AI2870" s="2">
        <v>45291</v>
      </c>
      <c r="AJ2870" s="2">
        <v>45034</v>
      </c>
    </row>
    <row r="2871" spans="1:36">
      <c r="A2871" s="1" t="str">
        <f>"98040573C7"</f>
        <v>98040573C7</v>
      </c>
      <c r="B2871" s="1" t="str">
        <f t="shared" si="66"/>
        <v>02406911202</v>
      </c>
      <c r="C2871" s="1" t="s">
        <v>13</v>
      </c>
      <c r="D2871" s="1" t="s">
        <v>37</v>
      </c>
      <c r="E2871" s="1" t="s">
        <v>5930</v>
      </c>
      <c r="F2871" s="1" t="s">
        <v>49</v>
      </c>
      <c r="G2871" s="1" t="str">
        <f>"00931170195"</f>
        <v>00931170195</v>
      </c>
      <c r="I2871" s="1" t="s">
        <v>5931</v>
      </c>
      <c r="L2871" s="1" t="s">
        <v>44</v>
      </c>
      <c r="M2871" s="1" t="s">
        <v>1255</v>
      </c>
      <c r="AG2871" s="1" t="s">
        <v>5932</v>
      </c>
      <c r="AH2871" s="2">
        <v>45048</v>
      </c>
      <c r="AI2871" s="2">
        <v>45141</v>
      </c>
      <c r="AJ2871" s="2">
        <v>45048</v>
      </c>
    </row>
    <row r="2872" spans="1:36">
      <c r="A2872" s="1" t="str">
        <f>"Z3A3AFA8A9"</f>
        <v>Z3A3AFA8A9</v>
      </c>
      <c r="B2872" s="1" t="str">
        <f t="shared" si="66"/>
        <v>02406911202</v>
      </c>
      <c r="C2872" s="1" t="s">
        <v>13</v>
      </c>
      <c r="D2872" s="1" t="s">
        <v>1253</v>
      </c>
      <c r="E2872" s="1" t="s">
        <v>4351</v>
      </c>
      <c r="F2872" s="1" t="s">
        <v>49</v>
      </c>
      <c r="G2872" s="1" t="str">
        <f>"01630000287"</f>
        <v>01630000287</v>
      </c>
      <c r="I2872" s="1" t="s">
        <v>1470</v>
      </c>
      <c r="L2872" s="1" t="s">
        <v>44</v>
      </c>
      <c r="M2872" s="1" t="s">
        <v>1255</v>
      </c>
      <c r="AG2872" s="1" t="s">
        <v>5933</v>
      </c>
      <c r="AH2872" s="2">
        <v>45054</v>
      </c>
      <c r="AI2872" s="2">
        <v>45291</v>
      </c>
      <c r="AJ2872" s="2">
        <v>45054</v>
      </c>
    </row>
    <row r="2873" spans="1:36">
      <c r="A2873" s="1" t="str">
        <f>"ZC93B2DAAD"</f>
        <v>ZC93B2DAAD</v>
      </c>
      <c r="B2873" s="1" t="str">
        <f t="shared" si="66"/>
        <v>02406911202</v>
      </c>
      <c r="C2873" s="1" t="s">
        <v>13</v>
      </c>
      <c r="D2873" s="1" t="s">
        <v>205</v>
      </c>
      <c r="E2873" s="1" t="s">
        <v>5934</v>
      </c>
      <c r="F2873" s="1" t="s">
        <v>49</v>
      </c>
      <c r="G2873" s="1" t="str">
        <f>"02395461201"</f>
        <v>02395461201</v>
      </c>
      <c r="I2873" s="1" t="s">
        <v>5935</v>
      </c>
      <c r="L2873" s="1" t="s">
        <v>44</v>
      </c>
      <c r="M2873" s="1" t="s">
        <v>5936</v>
      </c>
      <c r="AG2873" s="1" t="s">
        <v>5937</v>
      </c>
      <c r="AH2873" s="2">
        <v>44927</v>
      </c>
      <c r="AI2873" s="2">
        <v>45291</v>
      </c>
      <c r="AJ2873" s="2">
        <v>44927</v>
      </c>
    </row>
    <row r="2874" spans="1:36">
      <c r="A2874" s="1" t="str">
        <f>"Z6C3B2DB1A"</f>
        <v>Z6C3B2DB1A</v>
      </c>
      <c r="B2874" s="1" t="str">
        <f t="shared" si="66"/>
        <v>02406911202</v>
      </c>
      <c r="C2874" s="1" t="s">
        <v>13</v>
      </c>
      <c r="D2874" s="1" t="s">
        <v>205</v>
      </c>
      <c r="E2874" s="1" t="s">
        <v>5938</v>
      </c>
      <c r="F2874" s="1" t="s">
        <v>49</v>
      </c>
      <c r="G2874" s="1" t="str">
        <f>"02247011204"</f>
        <v>02247011204</v>
      </c>
      <c r="I2874" s="1" t="s">
        <v>5939</v>
      </c>
      <c r="L2874" s="1" t="s">
        <v>44</v>
      </c>
      <c r="M2874" s="1" t="s">
        <v>5940</v>
      </c>
      <c r="AG2874" s="1" t="s">
        <v>5941</v>
      </c>
      <c r="AH2874" s="2">
        <v>44927</v>
      </c>
      <c r="AI2874" s="2">
        <v>45291</v>
      </c>
      <c r="AJ2874" s="2">
        <v>44927</v>
      </c>
    </row>
    <row r="2875" spans="1:36">
      <c r="A2875" s="1" t="str">
        <f>"Z0F3B5C5AA"</f>
        <v>Z0F3B5C5AA</v>
      </c>
      <c r="B2875" s="1" t="str">
        <f t="shared" si="66"/>
        <v>02406911202</v>
      </c>
      <c r="C2875" s="1" t="s">
        <v>13</v>
      </c>
      <c r="D2875" s="1" t="s">
        <v>1312</v>
      </c>
      <c r="E2875" s="1" t="s">
        <v>5942</v>
      </c>
      <c r="F2875" s="1" t="s">
        <v>49</v>
      </c>
      <c r="G2875" s="1" t="str">
        <f>"03663531204"</f>
        <v>03663531204</v>
      </c>
      <c r="I2875" s="1" t="s">
        <v>5943</v>
      </c>
      <c r="L2875" s="1" t="s">
        <v>44</v>
      </c>
      <c r="M2875" s="1" t="s">
        <v>5944</v>
      </c>
      <c r="AG2875" s="1" t="s">
        <v>933</v>
      </c>
      <c r="AH2875" s="2">
        <v>44927</v>
      </c>
      <c r="AI2875" s="2">
        <v>45291</v>
      </c>
      <c r="AJ2875" s="2">
        <v>44927</v>
      </c>
    </row>
    <row r="2876" spans="1:36">
      <c r="A2876" s="1" t="str">
        <f>"Z093B5EE35"</f>
        <v>Z093B5EE35</v>
      </c>
      <c r="B2876" s="1" t="str">
        <f t="shared" si="66"/>
        <v>02406911202</v>
      </c>
      <c r="C2876" s="1" t="s">
        <v>13</v>
      </c>
      <c r="D2876" s="1" t="s">
        <v>205</v>
      </c>
      <c r="E2876" s="1" t="s">
        <v>5945</v>
      </c>
      <c r="F2876" s="1" t="s">
        <v>49</v>
      </c>
      <c r="G2876" s="1" t="str">
        <f>"03363351200"</f>
        <v>03363351200</v>
      </c>
      <c r="I2876" s="1" t="s">
        <v>5946</v>
      </c>
      <c r="L2876" s="1" t="s">
        <v>44</v>
      </c>
      <c r="M2876" s="1" t="s">
        <v>5865</v>
      </c>
      <c r="AG2876" s="1" t="s">
        <v>5947</v>
      </c>
      <c r="AH2876" s="2">
        <v>45076</v>
      </c>
      <c r="AI2876" s="2">
        <v>45291</v>
      </c>
      <c r="AJ2876" s="2">
        <v>45076</v>
      </c>
    </row>
    <row r="2877" spans="1:36">
      <c r="A2877" s="1" t="str">
        <f>"ZBF3B5F51A"</f>
        <v>ZBF3B5F51A</v>
      </c>
      <c r="B2877" s="1" t="str">
        <f t="shared" si="66"/>
        <v>02406911202</v>
      </c>
      <c r="C2877" s="1" t="s">
        <v>13</v>
      </c>
      <c r="D2877" s="1" t="s">
        <v>205</v>
      </c>
      <c r="E2877" s="1" t="s">
        <v>5948</v>
      </c>
      <c r="F2877" s="1" t="s">
        <v>49</v>
      </c>
      <c r="G2877" s="1" t="str">
        <f>"03363351200"</f>
        <v>03363351200</v>
      </c>
      <c r="I2877" s="1" t="s">
        <v>5946</v>
      </c>
      <c r="L2877" s="1" t="s">
        <v>44</v>
      </c>
      <c r="M2877" s="1" t="s">
        <v>5865</v>
      </c>
      <c r="AG2877" s="1" t="s">
        <v>5947</v>
      </c>
      <c r="AH2877" s="2">
        <v>45076</v>
      </c>
      <c r="AI2877" s="2">
        <v>45291</v>
      </c>
      <c r="AJ2877" s="2">
        <v>45076</v>
      </c>
    </row>
    <row r="2878" spans="1:36">
      <c r="A2878" s="1" t="str">
        <f>"Z153B5F949"</f>
        <v>Z153B5F949</v>
      </c>
      <c r="B2878" s="1" t="str">
        <f t="shared" si="66"/>
        <v>02406911202</v>
      </c>
      <c r="C2878" s="1" t="s">
        <v>13</v>
      </c>
      <c r="D2878" s="1" t="s">
        <v>1312</v>
      </c>
      <c r="E2878" s="1" t="s">
        <v>5949</v>
      </c>
      <c r="F2878" s="1" t="s">
        <v>49</v>
      </c>
      <c r="G2878" s="1" t="str">
        <f>"03597020373"</f>
        <v>03597020373</v>
      </c>
      <c r="I2878" s="1" t="s">
        <v>920</v>
      </c>
      <c r="L2878" s="1" t="s">
        <v>44</v>
      </c>
      <c r="M2878" s="1" t="s">
        <v>1314</v>
      </c>
      <c r="AG2878" s="1" t="s">
        <v>5950</v>
      </c>
      <c r="AH2878" s="2">
        <v>45076</v>
      </c>
      <c r="AI2878" s="2">
        <v>46022</v>
      </c>
      <c r="AJ2878" s="2">
        <v>45076</v>
      </c>
    </row>
    <row r="2879" spans="1:36">
      <c r="A2879" s="1" t="str">
        <f>"Z633B60B5E"</f>
        <v>Z633B60B5E</v>
      </c>
      <c r="B2879" s="1" t="str">
        <f t="shared" si="66"/>
        <v>02406911202</v>
      </c>
      <c r="C2879" s="1" t="s">
        <v>13</v>
      </c>
      <c r="D2879" s="1" t="s">
        <v>1312</v>
      </c>
      <c r="E2879" s="1" t="s">
        <v>5951</v>
      </c>
      <c r="F2879" s="1" t="s">
        <v>49</v>
      </c>
      <c r="G2879" s="1" t="str">
        <f>"01693020206"</f>
        <v>01693020206</v>
      </c>
      <c r="I2879" s="1" t="s">
        <v>1632</v>
      </c>
      <c r="L2879" s="1" t="s">
        <v>44</v>
      </c>
      <c r="M2879" s="1" t="s">
        <v>1735</v>
      </c>
      <c r="AG2879" s="1" t="s">
        <v>5952</v>
      </c>
      <c r="AH2879" s="2">
        <v>45076</v>
      </c>
      <c r="AI2879" s="2">
        <v>45291</v>
      </c>
      <c r="AJ2879" s="2">
        <v>45076</v>
      </c>
    </row>
    <row r="2880" spans="1:36">
      <c r="A2880" s="1" t="str">
        <f>"ZB03B18C76"</f>
        <v>ZB03B18C76</v>
      </c>
      <c r="B2880" s="1" t="str">
        <f t="shared" si="66"/>
        <v>02406911202</v>
      </c>
      <c r="C2880" s="1" t="s">
        <v>13</v>
      </c>
      <c r="D2880" s="1" t="s">
        <v>1253</v>
      </c>
      <c r="E2880" s="1" t="s">
        <v>1254</v>
      </c>
      <c r="F2880" s="1" t="s">
        <v>49</v>
      </c>
      <c r="G2880" s="1" t="str">
        <f>"03830250712"</f>
        <v>03830250712</v>
      </c>
      <c r="I2880" s="1" t="s">
        <v>4534</v>
      </c>
      <c r="L2880" s="1" t="s">
        <v>44</v>
      </c>
      <c r="M2880" s="1" t="s">
        <v>1255</v>
      </c>
      <c r="AG2880" s="1" t="s">
        <v>5953</v>
      </c>
      <c r="AH2880" s="2">
        <v>45076</v>
      </c>
      <c r="AI2880" s="2">
        <v>45291</v>
      </c>
      <c r="AJ2880" s="2">
        <v>45076</v>
      </c>
    </row>
    <row r="2881" spans="1:36">
      <c r="A2881" s="1" t="str">
        <f>"9842316819"</f>
        <v>9842316819</v>
      </c>
      <c r="B2881" s="1" t="str">
        <f t="shared" si="66"/>
        <v>02406911202</v>
      </c>
      <c r="C2881" s="1" t="s">
        <v>13</v>
      </c>
      <c r="D2881" s="1" t="s">
        <v>1253</v>
      </c>
      <c r="E2881" s="1" t="s">
        <v>1260</v>
      </c>
      <c r="F2881" s="1" t="s">
        <v>49</v>
      </c>
      <c r="G2881" s="1" t="str">
        <f>"02680890411"</f>
        <v>02680890411</v>
      </c>
      <c r="I2881" s="1" t="s">
        <v>2694</v>
      </c>
      <c r="L2881" s="1" t="s">
        <v>44</v>
      </c>
      <c r="M2881" s="1" t="s">
        <v>2739</v>
      </c>
      <c r="AG2881" s="1" t="s">
        <v>5954</v>
      </c>
      <c r="AH2881" s="2">
        <v>45077</v>
      </c>
      <c r="AI2881" s="2">
        <v>45291</v>
      </c>
      <c r="AJ2881" s="2">
        <v>45077</v>
      </c>
    </row>
    <row r="2882" spans="1:36">
      <c r="A2882" s="1" t="str">
        <f>"ZCA3B61A62"</f>
        <v>ZCA3B61A62</v>
      </c>
      <c r="B2882" s="1" t="str">
        <f t="shared" si="66"/>
        <v>02406911202</v>
      </c>
      <c r="C2882" s="1" t="s">
        <v>13</v>
      </c>
      <c r="D2882" s="1" t="s">
        <v>1253</v>
      </c>
      <c r="E2882" s="1" t="s">
        <v>3210</v>
      </c>
      <c r="F2882" s="1" t="s">
        <v>49</v>
      </c>
      <c r="G2882" s="1" t="str">
        <f>"07587340964"</f>
        <v>07587340964</v>
      </c>
      <c r="I2882" s="1" t="s">
        <v>5955</v>
      </c>
      <c r="L2882" s="1" t="s">
        <v>44</v>
      </c>
      <c r="M2882" s="1" t="s">
        <v>153</v>
      </c>
      <c r="AG2882" s="1" t="s">
        <v>124</v>
      </c>
      <c r="AH2882" s="2">
        <v>45077</v>
      </c>
      <c r="AI2882" s="2">
        <v>45291</v>
      </c>
      <c r="AJ2882" s="2">
        <v>45077</v>
      </c>
    </row>
    <row r="2883" spans="1:36">
      <c r="A2883" s="1" t="str">
        <f>"9841051431"</f>
        <v>9841051431</v>
      </c>
      <c r="B2883" s="1" t="str">
        <f t="shared" si="66"/>
        <v>02406911202</v>
      </c>
      <c r="C2883" s="1" t="s">
        <v>13</v>
      </c>
      <c r="D2883" s="1" t="s">
        <v>1253</v>
      </c>
      <c r="E2883" s="1" t="s">
        <v>1270</v>
      </c>
      <c r="F2883" s="1" t="s">
        <v>49</v>
      </c>
      <c r="G2883" s="1" t="str">
        <f>"08763060152"</f>
        <v>08763060152</v>
      </c>
      <c r="I2883" s="1" t="s">
        <v>5956</v>
      </c>
      <c r="L2883" s="1" t="s">
        <v>44</v>
      </c>
      <c r="M2883" s="1" t="s">
        <v>5957</v>
      </c>
      <c r="AG2883" s="1" t="s">
        <v>5958</v>
      </c>
      <c r="AH2883" s="2">
        <v>45077</v>
      </c>
      <c r="AI2883" s="2">
        <v>45291</v>
      </c>
      <c r="AJ2883" s="2">
        <v>45077</v>
      </c>
    </row>
    <row r="2884" spans="1:36">
      <c r="A2884" s="1" t="str">
        <f>"ZB83ADC5EA"</f>
        <v>ZB83ADC5EA</v>
      </c>
      <c r="B2884" s="1" t="str">
        <f t="shared" si="66"/>
        <v>02406911202</v>
      </c>
      <c r="C2884" s="1" t="s">
        <v>13</v>
      </c>
      <c r="D2884" s="1" t="s">
        <v>1253</v>
      </c>
      <c r="E2884" s="1" t="s">
        <v>1254</v>
      </c>
      <c r="F2884" s="1" t="s">
        <v>49</v>
      </c>
      <c r="G2884" s="1" t="str">
        <f>"01835220482"</f>
        <v>01835220482</v>
      </c>
      <c r="I2884" s="1" t="s">
        <v>412</v>
      </c>
      <c r="L2884" s="1" t="s">
        <v>44</v>
      </c>
      <c r="M2884" s="1" t="s">
        <v>1255</v>
      </c>
      <c r="AG2884" s="1" t="s">
        <v>5959</v>
      </c>
      <c r="AH2884" s="2">
        <v>45037</v>
      </c>
      <c r="AI2884" s="2">
        <v>45291</v>
      </c>
      <c r="AJ2884" s="2">
        <v>45037</v>
      </c>
    </row>
    <row r="2885" spans="1:36">
      <c r="A2885" s="1" t="str">
        <f>"ZA439B77C4"</f>
        <v>ZA439B77C4</v>
      </c>
      <c r="B2885" s="1" t="str">
        <f t="shared" si="66"/>
        <v>02406911202</v>
      </c>
      <c r="C2885" s="1" t="s">
        <v>13</v>
      </c>
      <c r="D2885" s="1" t="s">
        <v>37</v>
      </c>
      <c r="E2885" s="1" t="s">
        <v>5960</v>
      </c>
      <c r="F2885" s="1" t="s">
        <v>117</v>
      </c>
      <c r="G2885" s="1" t="str">
        <f>"00503151201"</f>
        <v>00503151201</v>
      </c>
      <c r="I2885" s="1" t="s">
        <v>2329</v>
      </c>
      <c r="L2885" s="1" t="s">
        <v>44</v>
      </c>
      <c r="M2885" s="1" t="s">
        <v>5961</v>
      </c>
      <c r="AG2885" s="1" t="s">
        <v>5962</v>
      </c>
      <c r="AH2885" s="2">
        <v>44957</v>
      </c>
      <c r="AI2885" s="2">
        <v>45309</v>
      </c>
      <c r="AJ2885" s="2">
        <v>44957</v>
      </c>
    </row>
    <row r="2886" spans="1:36">
      <c r="A2886" s="1" t="str">
        <f>"ZA63ADC5F7"</f>
        <v>ZA63ADC5F7</v>
      </c>
      <c r="B2886" s="1" t="str">
        <f t="shared" ref="B2886:B2949" si="67">"02406911202"</f>
        <v>02406911202</v>
      </c>
      <c r="C2886" s="1" t="s">
        <v>13</v>
      </c>
      <c r="D2886" s="1" t="s">
        <v>1253</v>
      </c>
      <c r="E2886" s="1" t="s">
        <v>1254</v>
      </c>
      <c r="F2886" s="1" t="s">
        <v>49</v>
      </c>
      <c r="G2886" s="1" t="str">
        <f>"00549731206"</f>
        <v>00549731206</v>
      </c>
      <c r="I2886" s="1" t="s">
        <v>1391</v>
      </c>
      <c r="L2886" s="1" t="s">
        <v>44</v>
      </c>
      <c r="M2886" s="1" t="s">
        <v>1255</v>
      </c>
      <c r="AG2886" s="1" t="s">
        <v>5963</v>
      </c>
      <c r="AH2886" s="2">
        <v>45037</v>
      </c>
      <c r="AI2886" s="2">
        <v>45291</v>
      </c>
      <c r="AJ2886" s="2">
        <v>45037</v>
      </c>
    </row>
    <row r="2887" spans="1:36">
      <c r="A2887" s="1" t="str">
        <f>"ZAB3AF245C"</f>
        <v>ZAB3AF245C</v>
      </c>
      <c r="B2887" s="1" t="str">
        <f t="shared" si="67"/>
        <v>02406911202</v>
      </c>
      <c r="C2887" s="1" t="s">
        <v>13</v>
      </c>
      <c r="D2887" s="1" t="s">
        <v>1253</v>
      </c>
      <c r="E2887" s="1" t="s">
        <v>1387</v>
      </c>
      <c r="F2887" s="1" t="s">
        <v>49</v>
      </c>
      <c r="G2887" s="1" t="str">
        <f>"01258691003"</f>
        <v>01258691003</v>
      </c>
      <c r="I2887" s="1" t="s">
        <v>2027</v>
      </c>
      <c r="L2887" s="1" t="s">
        <v>44</v>
      </c>
      <c r="M2887" s="1" t="s">
        <v>1255</v>
      </c>
      <c r="AG2887" s="1" t="s">
        <v>5964</v>
      </c>
      <c r="AH2887" s="2">
        <v>45044</v>
      </c>
      <c r="AI2887" s="2">
        <v>45291</v>
      </c>
      <c r="AJ2887" s="2">
        <v>45044</v>
      </c>
    </row>
    <row r="2888" spans="1:36">
      <c r="A2888" s="1" t="str">
        <f>"Z913ADC630"</f>
        <v>Z913ADC630</v>
      </c>
      <c r="B2888" s="1" t="str">
        <f t="shared" si="67"/>
        <v>02406911202</v>
      </c>
      <c r="C2888" s="1" t="s">
        <v>13</v>
      </c>
      <c r="D2888" s="1" t="s">
        <v>1253</v>
      </c>
      <c r="E2888" s="1" t="s">
        <v>1260</v>
      </c>
      <c r="F2888" s="1" t="s">
        <v>49</v>
      </c>
      <c r="G2888" s="1" t="str">
        <f>"09301330966"</f>
        <v>09301330966</v>
      </c>
      <c r="I2888" s="1" t="s">
        <v>553</v>
      </c>
      <c r="L2888" s="1" t="s">
        <v>44</v>
      </c>
      <c r="M2888" s="1" t="s">
        <v>1255</v>
      </c>
      <c r="AG2888" s="1" t="s">
        <v>5965</v>
      </c>
      <c r="AH2888" s="2">
        <v>45044</v>
      </c>
      <c r="AI2888" s="2">
        <v>45291</v>
      </c>
      <c r="AJ2888" s="2">
        <v>45044</v>
      </c>
    </row>
    <row r="2889" spans="1:36">
      <c r="A2889" s="1" t="str">
        <f>"9791659C9D"</f>
        <v>9791659C9D</v>
      </c>
      <c r="B2889" s="1" t="str">
        <f t="shared" si="67"/>
        <v>02406911202</v>
      </c>
      <c r="C2889" s="1" t="s">
        <v>13</v>
      </c>
      <c r="D2889" s="1" t="s">
        <v>37</v>
      </c>
      <c r="E2889" s="1" t="s">
        <v>5966</v>
      </c>
      <c r="F2889" s="1" t="s">
        <v>4463</v>
      </c>
      <c r="G2889" s="1" t="str">
        <f>"02006400960"</f>
        <v>02006400960</v>
      </c>
      <c r="I2889" s="1" t="s">
        <v>648</v>
      </c>
      <c r="L2889" s="1" t="s">
        <v>44</v>
      </c>
      <c r="M2889" s="1" t="s">
        <v>650</v>
      </c>
      <c r="AG2889" s="1" t="s">
        <v>5967</v>
      </c>
      <c r="AH2889" s="2">
        <v>45042</v>
      </c>
      <c r="AI2889" s="2">
        <v>45137</v>
      </c>
      <c r="AJ2889" s="2">
        <v>45042</v>
      </c>
    </row>
    <row r="2890" spans="1:36">
      <c r="A2890" s="1" t="str">
        <f>"ZE53AF3FC2"</f>
        <v>ZE53AF3FC2</v>
      </c>
      <c r="B2890" s="1" t="str">
        <f t="shared" si="67"/>
        <v>02406911202</v>
      </c>
      <c r="C2890" s="1" t="s">
        <v>13</v>
      </c>
      <c r="D2890" s="1" t="s">
        <v>205</v>
      </c>
      <c r="E2890" s="1" t="s">
        <v>5968</v>
      </c>
      <c r="F2890" s="1" t="s">
        <v>39</v>
      </c>
      <c r="G2890" s="1" t="str">
        <f>"01054710379"</f>
        <v>01054710379</v>
      </c>
      <c r="I2890" s="1" t="s">
        <v>3590</v>
      </c>
      <c r="L2890" s="1" t="s">
        <v>44</v>
      </c>
      <c r="M2890" s="1" t="s">
        <v>2739</v>
      </c>
      <c r="AG2890" s="1" t="s">
        <v>5969</v>
      </c>
      <c r="AH2890" s="2">
        <v>44927</v>
      </c>
      <c r="AI2890" s="2">
        <v>45291</v>
      </c>
      <c r="AJ2890" s="2">
        <v>44927</v>
      </c>
    </row>
    <row r="2891" spans="1:36">
      <c r="A2891" s="1" t="str">
        <f>"9775492F2E"</f>
        <v>9775492F2E</v>
      </c>
      <c r="B2891" s="1" t="str">
        <f t="shared" si="67"/>
        <v>02406911202</v>
      </c>
      <c r="C2891" s="1" t="s">
        <v>13</v>
      </c>
      <c r="D2891" s="1" t="s">
        <v>37</v>
      </c>
      <c r="E2891" s="1" t="s">
        <v>5970</v>
      </c>
      <c r="F2891" s="1" t="s">
        <v>49</v>
      </c>
      <c r="G2891" s="1" t="str">
        <f>"02606120349"</f>
        <v>02606120349</v>
      </c>
      <c r="I2891" s="1" t="s">
        <v>595</v>
      </c>
      <c r="L2891" s="1" t="s">
        <v>44</v>
      </c>
      <c r="M2891" s="1" t="s">
        <v>5971</v>
      </c>
      <c r="AG2891" s="1" t="s">
        <v>5972</v>
      </c>
      <c r="AH2891" s="2">
        <v>45044</v>
      </c>
      <c r="AI2891" s="2">
        <v>45230</v>
      </c>
      <c r="AJ2891" s="2">
        <v>45044</v>
      </c>
    </row>
    <row r="2892" spans="1:36">
      <c r="A2892" s="1" t="str">
        <f>"977551415A"</f>
        <v>977551415A</v>
      </c>
      <c r="B2892" s="1" t="str">
        <f t="shared" si="67"/>
        <v>02406911202</v>
      </c>
      <c r="C2892" s="1" t="s">
        <v>13</v>
      </c>
      <c r="D2892" s="1" t="s">
        <v>37</v>
      </c>
      <c r="E2892" s="1" t="s">
        <v>5973</v>
      </c>
      <c r="F2892" s="1" t="s">
        <v>49</v>
      </c>
      <c r="G2892" s="1" t="str">
        <f>"03638130280"</f>
        <v>03638130280</v>
      </c>
      <c r="I2892" s="1" t="s">
        <v>3953</v>
      </c>
      <c r="L2892" s="1" t="s">
        <v>44</v>
      </c>
      <c r="M2892" s="1" t="s">
        <v>5974</v>
      </c>
      <c r="AG2892" s="1" t="s">
        <v>5975</v>
      </c>
      <c r="AH2892" s="2">
        <v>45044</v>
      </c>
      <c r="AI2892" s="2">
        <v>45230</v>
      </c>
      <c r="AJ2892" s="2">
        <v>45044</v>
      </c>
    </row>
    <row r="2893" spans="1:36">
      <c r="A2893" s="1" t="str">
        <f>"Z6B3B04DD7"</f>
        <v>Z6B3B04DD7</v>
      </c>
      <c r="B2893" s="1" t="str">
        <f t="shared" si="67"/>
        <v>02406911202</v>
      </c>
      <c r="C2893" s="1" t="s">
        <v>13</v>
      </c>
      <c r="D2893" s="1" t="s">
        <v>205</v>
      </c>
      <c r="E2893" s="1" t="s">
        <v>5976</v>
      </c>
      <c r="F2893" s="1" t="s">
        <v>49</v>
      </c>
      <c r="G2893" s="1" t="str">
        <f>"04149030373"</f>
        <v>04149030373</v>
      </c>
      <c r="I2893" s="1" t="s">
        <v>5977</v>
      </c>
      <c r="L2893" s="1" t="s">
        <v>44</v>
      </c>
      <c r="M2893" s="1" t="s">
        <v>5978</v>
      </c>
      <c r="AG2893" s="1" t="s">
        <v>5979</v>
      </c>
      <c r="AH2893" s="2">
        <v>44927</v>
      </c>
      <c r="AI2893" s="2">
        <v>45291</v>
      </c>
      <c r="AJ2893" s="2">
        <v>44927</v>
      </c>
    </row>
    <row r="2894" spans="1:36">
      <c r="A2894" s="1" t="str">
        <f>"Z633B04EA0"</f>
        <v>Z633B04EA0</v>
      </c>
      <c r="B2894" s="1" t="str">
        <f t="shared" si="67"/>
        <v>02406911202</v>
      </c>
      <c r="C2894" s="1" t="s">
        <v>13</v>
      </c>
      <c r="D2894" s="1" t="s">
        <v>205</v>
      </c>
      <c r="E2894" s="1" t="s">
        <v>5980</v>
      </c>
      <c r="F2894" s="1" t="s">
        <v>49</v>
      </c>
      <c r="G2894" s="1" t="str">
        <f>"04111650372"</f>
        <v>04111650372</v>
      </c>
      <c r="I2894" s="1" t="s">
        <v>5981</v>
      </c>
      <c r="L2894" s="1" t="s">
        <v>44</v>
      </c>
      <c r="M2894" s="1" t="s">
        <v>5982</v>
      </c>
      <c r="AG2894" s="1" t="s">
        <v>5983</v>
      </c>
      <c r="AH2894" s="2">
        <v>44927</v>
      </c>
      <c r="AI2894" s="2">
        <v>45291</v>
      </c>
      <c r="AJ2894" s="2">
        <v>44927</v>
      </c>
    </row>
    <row r="2895" spans="1:36">
      <c r="A2895" s="1" t="str">
        <f>"ZD63B04F3A"</f>
        <v>ZD63B04F3A</v>
      </c>
      <c r="B2895" s="1" t="str">
        <f t="shared" si="67"/>
        <v>02406911202</v>
      </c>
      <c r="C2895" s="1" t="s">
        <v>13</v>
      </c>
      <c r="D2895" s="1" t="s">
        <v>205</v>
      </c>
      <c r="E2895" s="1" t="s">
        <v>5984</v>
      </c>
      <c r="F2895" s="1" t="s">
        <v>49</v>
      </c>
      <c r="G2895" s="1" t="str">
        <f>"04271680375"</f>
        <v>04271680375</v>
      </c>
      <c r="I2895" s="1" t="s">
        <v>5985</v>
      </c>
      <c r="L2895" s="1" t="s">
        <v>44</v>
      </c>
      <c r="M2895" s="1" t="s">
        <v>5986</v>
      </c>
      <c r="AG2895" s="1" t="s">
        <v>5987</v>
      </c>
      <c r="AH2895" s="2">
        <v>44927</v>
      </c>
      <c r="AI2895" s="2">
        <v>45291</v>
      </c>
      <c r="AJ2895" s="2">
        <v>44927</v>
      </c>
    </row>
    <row r="2896" spans="1:36">
      <c r="A2896" s="1" t="str">
        <f>"Z143B04FE2"</f>
        <v>Z143B04FE2</v>
      </c>
      <c r="B2896" s="1" t="str">
        <f t="shared" si="67"/>
        <v>02406911202</v>
      </c>
      <c r="C2896" s="1" t="s">
        <v>13</v>
      </c>
      <c r="D2896" s="1" t="s">
        <v>205</v>
      </c>
      <c r="E2896" s="1" t="s">
        <v>5988</v>
      </c>
      <c r="F2896" s="1" t="s">
        <v>49</v>
      </c>
      <c r="G2896" s="1" t="str">
        <f>"04205910377"</f>
        <v>04205910377</v>
      </c>
      <c r="I2896" s="1" t="s">
        <v>5989</v>
      </c>
      <c r="L2896" s="1" t="s">
        <v>44</v>
      </c>
      <c r="M2896" s="1" t="s">
        <v>5990</v>
      </c>
      <c r="AG2896" s="1" t="s">
        <v>5991</v>
      </c>
      <c r="AH2896" s="2">
        <v>44927</v>
      </c>
      <c r="AI2896" s="2">
        <v>45291</v>
      </c>
      <c r="AJ2896" s="2">
        <v>44927</v>
      </c>
    </row>
    <row r="2897" spans="1:36">
      <c r="A2897" s="1" t="str">
        <f>"ZA43AA5DCA"</f>
        <v>ZA43AA5DCA</v>
      </c>
      <c r="B2897" s="1" t="str">
        <f t="shared" si="67"/>
        <v>02406911202</v>
      </c>
      <c r="C2897" s="1" t="s">
        <v>13</v>
      </c>
      <c r="D2897" s="1" t="s">
        <v>1741</v>
      </c>
      <c r="E2897" s="1" t="s">
        <v>5992</v>
      </c>
      <c r="F2897" s="1" t="s">
        <v>39</v>
      </c>
      <c r="G2897" s="1" t="str">
        <f>"12272790150"</f>
        <v>12272790150</v>
      </c>
      <c r="I2897" s="1" t="s">
        <v>5993</v>
      </c>
      <c r="L2897" s="1" t="s">
        <v>44</v>
      </c>
      <c r="M2897" s="1" t="s">
        <v>5994</v>
      </c>
      <c r="AG2897" s="1" t="s">
        <v>5994</v>
      </c>
      <c r="AH2897" s="2">
        <v>45047</v>
      </c>
      <c r="AI2897" s="2">
        <v>45291</v>
      </c>
      <c r="AJ2897" s="2">
        <v>45047</v>
      </c>
    </row>
    <row r="2898" spans="1:36">
      <c r="A2898" s="1" t="str">
        <f>"ZA43AA5DCA"</f>
        <v>ZA43AA5DCA</v>
      </c>
      <c r="B2898" s="1" t="str">
        <f t="shared" si="67"/>
        <v>02406911202</v>
      </c>
      <c r="C2898" s="1" t="s">
        <v>13</v>
      </c>
      <c r="D2898" s="1" t="s">
        <v>1741</v>
      </c>
      <c r="E2898" s="1" t="s">
        <v>5992</v>
      </c>
      <c r="F2898" s="1" t="s">
        <v>39</v>
      </c>
      <c r="G2898" s="1" t="str">
        <f>"01121130197"</f>
        <v>01121130197</v>
      </c>
      <c r="I2898" s="1" t="s">
        <v>1882</v>
      </c>
      <c r="L2898" s="1" t="s">
        <v>41</v>
      </c>
      <c r="AJ2898" s="2">
        <v>45047</v>
      </c>
    </row>
    <row r="2899" spans="1:36">
      <c r="A2899" s="1" t="str">
        <f>"ZA43AA5DCA"</f>
        <v>ZA43AA5DCA</v>
      </c>
      <c r="B2899" s="1" t="str">
        <f t="shared" si="67"/>
        <v>02406911202</v>
      </c>
      <c r="C2899" s="1" t="s">
        <v>13</v>
      </c>
      <c r="D2899" s="1" t="s">
        <v>1741</v>
      </c>
      <c r="E2899" s="1" t="s">
        <v>5992</v>
      </c>
      <c r="F2899" s="1" t="s">
        <v>39</v>
      </c>
      <c r="G2899" s="1" t="str">
        <f>"01486330309"</f>
        <v>01486330309</v>
      </c>
      <c r="I2899" s="1" t="s">
        <v>2134</v>
      </c>
      <c r="L2899" s="1" t="s">
        <v>41</v>
      </c>
      <c r="AJ2899" s="2">
        <v>45047</v>
      </c>
    </row>
    <row r="2900" spans="1:36">
      <c r="A2900" s="1" t="str">
        <f>"ZA43AA5DCA"</f>
        <v>ZA43AA5DCA</v>
      </c>
      <c r="B2900" s="1" t="str">
        <f t="shared" si="67"/>
        <v>02406911202</v>
      </c>
      <c r="C2900" s="1" t="s">
        <v>13</v>
      </c>
      <c r="D2900" s="1" t="s">
        <v>1741</v>
      </c>
      <c r="E2900" s="1" t="s">
        <v>5992</v>
      </c>
      <c r="F2900" s="1" t="s">
        <v>39</v>
      </c>
      <c r="G2900" s="1" t="str">
        <f>"02138390360"</f>
        <v>02138390360</v>
      </c>
      <c r="I2900" s="1" t="s">
        <v>1879</v>
      </c>
      <c r="L2900" s="1" t="s">
        <v>41</v>
      </c>
      <c r="AJ2900" s="2">
        <v>45047</v>
      </c>
    </row>
    <row r="2901" spans="1:36">
      <c r="A2901" s="1" t="str">
        <f>"ZA43AA5DCA"</f>
        <v>ZA43AA5DCA</v>
      </c>
      <c r="B2901" s="1" t="str">
        <f t="shared" si="67"/>
        <v>02406911202</v>
      </c>
      <c r="C2901" s="1" t="s">
        <v>13</v>
      </c>
      <c r="D2901" s="1" t="s">
        <v>1741</v>
      </c>
      <c r="E2901" s="1" t="s">
        <v>5992</v>
      </c>
      <c r="F2901" s="1" t="s">
        <v>39</v>
      </c>
      <c r="G2901" s="1" t="str">
        <f>"02222170132"</f>
        <v>02222170132</v>
      </c>
      <c r="I2901" s="1" t="s">
        <v>5995</v>
      </c>
      <c r="L2901" s="1" t="s">
        <v>41</v>
      </c>
      <c r="AJ2901" s="2">
        <v>45047</v>
      </c>
    </row>
    <row r="2902" spans="1:36">
      <c r="A2902" s="1" t="str">
        <f>"Z8E3B06500"</f>
        <v>Z8E3B06500</v>
      </c>
      <c r="B2902" s="1" t="str">
        <f t="shared" si="67"/>
        <v>02406911202</v>
      </c>
      <c r="C2902" s="1" t="s">
        <v>13</v>
      </c>
      <c r="D2902" s="1" t="s">
        <v>37</v>
      </c>
      <c r="E2902" s="1" t="s">
        <v>5996</v>
      </c>
      <c r="F2902" s="1" t="s">
        <v>39</v>
      </c>
      <c r="H2902" s="1" t="str">
        <f>"043310941"</f>
        <v>043310941</v>
      </c>
      <c r="I2902" s="1" t="s">
        <v>1942</v>
      </c>
      <c r="L2902" s="1" t="s">
        <v>44</v>
      </c>
      <c r="M2902" s="1" t="s">
        <v>1918</v>
      </c>
      <c r="AG2902" s="1" t="s">
        <v>5997</v>
      </c>
      <c r="AH2902" s="2">
        <v>44927</v>
      </c>
      <c r="AI2902" s="2">
        <v>45291</v>
      </c>
      <c r="AJ2902" s="2">
        <v>44927</v>
      </c>
    </row>
    <row r="2903" spans="1:36">
      <c r="A2903" s="1" t="str">
        <f>"Z863B1B80C"</f>
        <v>Z863B1B80C</v>
      </c>
      <c r="B2903" s="1" t="str">
        <f t="shared" si="67"/>
        <v>02406911202</v>
      </c>
      <c r="C2903" s="1" t="s">
        <v>13</v>
      </c>
      <c r="D2903" s="1" t="s">
        <v>1312</v>
      </c>
      <c r="E2903" s="1" t="s">
        <v>5998</v>
      </c>
      <c r="F2903" s="1" t="s">
        <v>49</v>
      </c>
      <c r="G2903" s="1" t="str">
        <f>"06754140157"</f>
        <v>06754140157</v>
      </c>
      <c r="I2903" s="1" t="s">
        <v>2665</v>
      </c>
      <c r="L2903" s="1" t="s">
        <v>44</v>
      </c>
      <c r="M2903" s="1" t="s">
        <v>1314</v>
      </c>
      <c r="AG2903" s="1" t="s">
        <v>5999</v>
      </c>
      <c r="AH2903" s="2">
        <v>45057</v>
      </c>
      <c r="AI2903" s="2">
        <v>46022</v>
      </c>
      <c r="AJ2903" s="2">
        <v>45057</v>
      </c>
    </row>
    <row r="2904" spans="1:36">
      <c r="A2904" s="1" t="str">
        <f>"Z953B3B312"</f>
        <v>Z953B3B312</v>
      </c>
      <c r="B2904" s="1" t="str">
        <f t="shared" si="67"/>
        <v>02406911202</v>
      </c>
      <c r="C2904" s="1" t="s">
        <v>13</v>
      </c>
      <c r="D2904" s="1" t="s">
        <v>1253</v>
      </c>
      <c r="E2904" s="1" t="s">
        <v>1270</v>
      </c>
      <c r="F2904" s="1" t="s">
        <v>49</v>
      </c>
      <c r="G2904" s="1" t="str">
        <f>"13522771008"</f>
        <v>13522771008</v>
      </c>
      <c r="I2904" s="1" t="s">
        <v>271</v>
      </c>
      <c r="L2904" s="1" t="s">
        <v>44</v>
      </c>
      <c r="M2904" s="1" t="s">
        <v>1255</v>
      </c>
      <c r="AG2904" s="1" t="s">
        <v>124</v>
      </c>
      <c r="AH2904" s="2">
        <v>45065</v>
      </c>
      <c r="AI2904" s="2">
        <v>45291</v>
      </c>
      <c r="AJ2904" s="2">
        <v>45065</v>
      </c>
    </row>
    <row r="2905" spans="1:36">
      <c r="A2905" s="1" t="str">
        <f>"Z303AB7941"</f>
        <v>Z303AB7941</v>
      </c>
      <c r="B2905" s="1" t="str">
        <f t="shared" si="67"/>
        <v>02406911202</v>
      </c>
      <c r="C2905" s="1" t="s">
        <v>13</v>
      </c>
      <c r="D2905" s="1" t="s">
        <v>1257</v>
      </c>
      <c r="E2905" s="1" t="s">
        <v>6000</v>
      </c>
      <c r="F2905" s="1" t="s">
        <v>49</v>
      </c>
      <c r="G2905" s="1" t="str">
        <f>"02848620163"</f>
        <v>02848620163</v>
      </c>
      <c r="I2905" s="1" t="s">
        <v>833</v>
      </c>
      <c r="L2905" s="1" t="s">
        <v>44</v>
      </c>
      <c r="M2905" s="1" t="s">
        <v>6001</v>
      </c>
      <c r="AG2905" s="1" t="s">
        <v>124</v>
      </c>
      <c r="AH2905" s="2">
        <v>45071</v>
      </c>
      <c r="AI2905" s="2">
        <v>45443</v>
      </c>
      <c r="AJ2905" s="2">
        <v>45071</v>
      </c>
    </row>
    <row r="2906" spans="1:36">
      <c r="A2906" s="1" t="str">
        <f>"Z773B4ED8F"</f>
        <v>Z773B4ED8F</v>
      </c>
      <c r="B2906" s="1" t="str">
        <f t="shared" si="67"/>
        <v>02406911202</v>
      </c>
      <c r="C2906" s="1" t="s">
        <v>13</v>
      </c>
      <c r="D2906" s="1" t="s">
        <v>1257</v>
      </c>
      <c r="E2906" s="1" t="s">
        <v>6002</v>
      </c>
      <c r="F2906" s="1" t="s">
        <v>49</v>
      </c>
      <c r="G2906" s="1" t="str">
        <f>"04599620400"</f>
        <v>04599620400</v>
      </c>
      <c r="I2906" s="1" t="s">
        <v>2968</v>
      </c>
      <c r="L2906" s="1" t="s">
        <v>44</v>
      </c>
      <c r="M2906" s="1" t="s">
        <v>6003</v>
      </c>
      <c r="AG2906" s="1" t="s">
        <v>124</v>
      </c>
      <c r="AH2906" s="2">
        <v>45071</v>
      </c>
      <c r="AI2906" s="2">
        <v>45135</v>
      </c>
      <c r="AJ2906" s="2">
        <v>45071</v>
      </c>
    </row>
    <row r="2907" spans="1:36">
      <c r="A2907" s="1" t="str">
        <f>"ZF03B4EECC"</f>
        <v>ZF03B4EECC</v>
      </c>
      <c r="B2907" s="1" t="str">
        <f t="shared" si="67"/>
        <v>02406911202</v>
      </c>
      <c r="C2907" s="1" t="s">
        <v>13</v>
      </c>
      <c r="D2907" s="1" t="s">
        <v>1257</v>
      </c>
      <c r="E2907" s="1" t="s">
        <v>6004</v>
      </c>
      <c r="F2907" s="1" t="s">
        <v>49</v>
      </c>
      <c r="G2907" s="1" t="str">
        <f>"02962831208"</f>
        <v>02962831208</v>
      </c>
      <c r="I2907" s="1" t="s">
        <v>6005</v>
      </c>
      <c r="L2907" s="1" t="s">
        <v>44</v>
      </c>
      <c r="M2907" s="1" t="s">
        <v>153</v>
      </c>
      <c r="AG2907" s="1" t="s">
        <v>6006</v>
      </c>
      <c r="AH2907" s="2">
        <v>45071</v>
      </c>
      <c r="AI2907" s="2">
        <v>45291</v>
      </c>
      <c r="AJ2907" s="2">
        <v>45071</v>
      </c>
    </row>
    <row r="2908" spans="1:36">
      <c r="A2908" s="1" t="str">
        <f>"Z953B50169"</f>
        <v>Z953B50169</v>
      </c>
      <c r="B2908" s="1" t="str">
        <f t="shared" si="67"/>
        <v>02406911202</v>
      </c>
      <c r="C2908" s="1" t="s">
        <v>13</v>
      </c>
      <c r="D2908" s="1" t="s">
        <v>1253</v>
      </c>
      <c r="E2908" s="1" t="s">
        <v>1270</v>
      </c>
      <c r="F2908" s="1" t="s">
        <v>49</v>
      </c>
      <c r="G2908" s="1" t="str">
        <f>"10767630154"</f>
        <v>10767630154</v>
      </c>
      <c r="I2908" s="1" t="s">
        <v>2429</v>
      </c>
      <c r="L2908" s="1" t="s">
        <v>44</v>
      </c>
      <c r="M2908" s="1" t="s">
        <v>1255</v>
      </c>
      <c r="AG2908" s="1" t="s">
        <v>6007</v>
      </c>
      <c r="AH2908" s="2">
        <v>45071</v>
      </c>
      <c r="AI2908" s="2">
        <v>45291</v>
      </c>
      <c r="AJ2908" s="2">
        <v>45071</v>
      </c>
    </row>
    <row r="2909" spans="1:36">
      <c r="A2909" s="1" t="str">
        <f>"Z4B3B4FF1D"</f>
        <v>Z4B3B4FF1D</v>
      </c>
      <c r="B2909" s="1" t="str">
        <f t="shared" si="67"/>
        <v>02406911202</v>
      </c>
      <c r="C2909" s="1" t="s">
        <v>13</v>
      </c>
      <c r="D2909" s="1" t="s">
        <v>205</v>
      </c>
      <c r="E2909" s="1" t="s">
        <v>6008</v>
      </c>
      <c r="F2909" s="1" t="s">
        <v>49</v>
      </c>
      <c r="G2909" s="1" t="str">
        <f>"00674091202"</f>
        <v>00674091202</v>
      </c>
      <c r="I2909" s="1" t="s">
        <v>4822</v>
      </c>
      <c r="L2909" s="1" t="s">
        <v>44</v>
      </c>
      <c r="M2909" s="1" t="s">
        <v>6009</v>
      </c>
      <c r="AG2909" s="1" t="s">
        <v>2150</v>
      </c>
      <c r="AH2909" s="2">
        <v>44927</v>
      </c>
      <c r="AI2909" s="2">
        <v>45291</v>
      </c>
      <c r="AJ2909" s="2">
        <v>44927</v>
      </c>
    </row>
    <row r="2910" spans="1:36">
      <c r="A2910" s="1" t="str">
        <f t="shared" ref="A2910:A2916" si="68">"Z293ADF2B6"</f>
        <v>Z293ADF2B6</v>
      </c>
      <c r="B2910" s="1" t="str">
        <f t="shared" si="67"/>
        <v>02406911202</v>
      </c>
      <c r="C2910" s="1" t="s">
        <v>13</v>
      </c>
      <c r="D2910" s="1" t="s">
        <v>1741</v>
      </c>
      <c r="E2910" s="1" t="s">
        <v>6010</v>
      </c>
      <c r="F2910" s="1" t="s">
        <v>39</v>
      </c>
      <c r="G2910" s="1" t="str">
        <f>"01486330309"</f>
        <v>01486330309</v>
      </c>
      <c r="I2910" s="1" t="s">
        <v>2134</v>
      </c>
      <c r="L2910" s="1" t="s">
        <v>44</v>
      </c>
      <c r="M2910" s="1" t="s">
        <v>6011</v>
      </c>
      <c r="AG2910" s="1" t="s">
        <v>6011</v>
      </c>
      <c r="AH2910" s="2">
        <v>45036</v>
      </c>
      <c r="AI2910" s="2">
        <v>45291</v>
      </c>
      <c r="AJ2910" s="2">
        <v>45036</v>
      </c>
    </row>
    <row r="2911" spans="1:36">
      <c r="A2911" s="1" t="str">
        <f t="shared" si="68"/>
        <v>Z293ADF2B6</v>
      </c>
      <c r="B2911" s="1" t="str">
        <f t="shared" si="67"/>
        <v>02406911202</v>
      </c>
      <c r="C2911" s="1" t="s">
        <v>13</v>
      </c>
      <c r="D2911" s="1" t="s">
        <v>1741</v>
      </c>
      <c r="E2911" s="1" t="s">
        <v>6010</v>
      </c>
      <c r="F2911" s="1" t="s">
        <v>39</v>
      </c>
      <c r="G2911" s="1" t="str">
        <f>"03359340837"</f>
        <v>03359340837</v>
      </c>
      <c r="I2911" s="1" t="s">
        <v>1881</v>
      </c>
      <c r="L2911" s="1" t="s">
        <v>41</v>
      </c>
      <c r="AJ2911" s="2">
        <v>45036</v>
      </c>
    </row>
    <row r="2912" spans="1:36">
      <c r="A2912" s="1" t="str">
        <f t="shared" si="68"/>
        <v>Z293ADF2B6</v>
      </c>
      <c r="B2912" s="1" t="str">
        <f t="shared" si="67"/>
        <v>02406911202</v>
      </c>
      <c r="C2912" s="1" t="s">
        <v>13</v>
      </c>
      <c r="D2912" s="1" t="s">
        <v>1741</v>
      </c>
      <c r="E2912" s="1" t="s">
        <v>6010</v>
      </c>
      <c r="F2912" s="1" t="s">
        <v>39</v>
      </c>
      <c r="G2912" s="1" t="str">
        <f>"02376321200"</f>
        <v>02376321200</v>
      </c>
      <c r="I2912" s="1" t="s">
        <v>1884</v>
      </c>
      <c r="L2912" s="1" t="s">
        <v>41</v>
      </c>
      <c r="AJ2912" s="2">
        <v>45036</v>
      </c>
    </row>
    <row r="2913" spans="1:36">
      <c r="A2913" s="1" t="str">
        <f t="shared" si="68"/>
        <v>Z293ADF2B6</v>
      </c>
      <c r="B2913" s="1" t="str">
        <f t="shared" si="67"/>
        <v>02406911202</v>
      </c>
      <c r="C2913" s="1" t="s">
        <v>13</v>
      </c>
      <c r="D2913" s="1" t="s">
        <v>1741</v>
      </c>
      <c r="E2913" s="1" t="s">
        <v>6010</v>
      </c>
      <c r="F2913" s="1" t="s">
        <v>39</v>
      </c>
      <c r="G2913" s="1" t="str">
        <f>"02138390360"</f>
        <v>02138390360</v>
      </c>
      <c r="I2913" s="1" t="s">
        <v>1879</v>
      </c>
      <c r="L2913" s="1" t="s">
        <v>41</v>
      </c>
      <c r="AJ2913" s="2">
        <v>45036</v>
      </c>
    </row>
    <row r="2914" spans="1:36">
      <c r="A2914" s="1" t="str">
        <f t="shared" si="68"/>
        <v>Z293ADF2B6</v>
      </c>
      <c r="B2914" s="1" t="str">
        <f t="shared" si="67"/>
        <v>02406911202</v>
      </c>
      <c r="C2914" s="1" t="s">
        <v>13</v>
      </c>
      <c r="D2914" s="1" t="s">
        <v>1741</v>
      </c>
      <c r="E2914" s="1" t="s">
        <v>6010</v>
      </c>
      <c r="F2914" s="1" t="s">
        <v>39</v>
      </c>
      <c r="G2914" s="1" t="str">
        <f>"03349070361"</f>
        <v>03349070361</v>
      </c>
      <c r="I2914" s="1" t="s">
        <v>1885</v>
      </c>
      <c r="L2914" s="1" t="s">
        <v>41</v>
      </c>
      <c r="AJ2914" s="2">
        <v>45036</v>
      </c>
    </row>
    <row r="2915" spans="1:36">
      <c r="A2915" s="1" t="str">
        <f t="shared" si="68"/>
        <v>Z293ADF2B6</v>
      </c>
      <c r="B2915" s="1" t="str">
        <f t="shared" si="67"/>
        <v>02406911202</v>
      </c>
      <c r="C2915" s="1" t="s">
        <v>13</v>
      </c>
      <c r="D2915" s="1" t="s">
        <v>1741</v>
      </c>
      <c r="E2915" s="1" t="s">
        <v>6010</v>
      </c>
      <c r="F2915" s="1" t="s">
        <v>39</v>
      </c>
      <c r="G2915" s="1" t="str">
        <f>"01813500541"</f>
        <v>01813500541</v>
      </c>
      <c r="I2915" s="1" t="s">
        <v>2137</v>
      </c>
      <c r="L2915" s="1" t="s">
        <v>41</v>
      </c>
      <c r="AJ2915" s="2">
        <v>45036</v>
      </c>
    </row>
    <row r="2916" spans="1:36">
      <c r="A2916" s="1" t="str">
        <f t="shared" si="68"/>
        <v>Z293ADF2B6</v>
      </c>
      <c r="B2916" s="1" t="str">
        <f t="shared" si="67"/>
        <v>02406911202</v>
      </c>
      <c r="C2916" s="1" t="s">
        <v>13</v>
      </c>
      <c r="D2916" s="1" t="s">
        <v>1741</v>
      </c>
      <c r="E2916" s="1" t="s">
        <v>6010</v>
      </c>
      <c r="F2916" s="1" t="s">
        <v>39</v>
      </c>
      <c r="G2916" s="1" t="str">
        <f>"00740430335"</f>
        <v>00740430335</v>
      </c>
      <c r="I2916" s="1" t="s">
        <v>1888</v>
      </c>
      <c r="L2916" s="1" t="s">
        <v>41</v>
      </c>
      <c r="AJ2916" s="2">
        <v>45036</v>
      </c>
    </row>
    <row r="2917" spans="1:36">
      <c r="A2917" s="1" t="str">
        <f>"9817694961"</f>
        <v>9817694961</v>
      </c>
      <c r="B2917" s="1" t="str">
        <f t="shared" si="67"/>
        <v>02406911202</v>
      </c>
      <c r="C2917" s="1" t="s">
        <v>13</v>
      </c>
      <c r="D2917" s="1" t="s">
        <v>1312</v>
      </c>
      <c r="E2917" s="1" t="s">
        <v>6012</v>
      </c>
      <c r="F2917" s="1" t="s">
        <v>49</v>
      </c>
      <c r="G2917" s="1" t="str">
        <f>"04270270400"</f>
        <v>04270270400</v>
      </c>
      <c r="I2917" s="1" t="s">
        <v>5321</v>
      </c>
      <c r="L2917" s="1" t="s">
        <v>44</v>
      </c>
      <c r="M2917" s="1" t="s">
        <v>6013</v>
      </c>
      <c r="AG2917" s="1" t="s">
        <v>6014</v>
      </c>
      <c r="AH2917" s="2">
        <v>45071</v>
      </c>
      <c r="AI2917" s="2">
        <v>45291</v>
      </c>
      <c r="AJ2917" s="2">
        <v>45071</v>
      </c>
    </row>
    <row r="2918" spans="1:36">
      <c r="A2918" s="1" t="str">
        <f>"Z063B52176"</f>
        <v>Z063B52176</v>
      </c>
      <c r="B2918" s="1" t="str">
        <f t="shared" si="67"/>
        <v>02406911202</v>
      </c>
      <c r="C2918" s="1" t="s">
        <v>13</v>
      </c>
      <c r="D2918" s="1" t="s">
        <v>1253</v>
      </c>
      <c r="E2918" s="1" t="s">
        <v>1270</v>
      </c>
      <c r="F2918" s="1" t="s">
        <v>49</v>
      </c>
      <c r="G2918" s="1" t="str">
        <f>"02217770235"</f>
        <v>02217770235</v>
      </c>
      <c r="I2918" s="1" t="s">
        <v>1369</v>
      </c>
      <c r="L2918" s="1" t="s">
        <v>44</v>
      </c>
      <c r="M2918" s="1" t="s">
        <v>1255</v>
      </c>
      <c r="AG2918" s="1" t="s">
        <v>6015</v>
      </c>
      <c r="AH2918" s="2">
        <v>45071</v>
      </c>
      <c r="AI2918" s="2">
        <v>45291</v>
      </c>
      <c r="AJ2918" s="2">
        <v>45071</v>
      </c>
    </row>
    <row r="2919" spans="1:36">
      <c r="A2919" s="1" t="str">
        <f>"972258856E"</f>
        <v>972258856E</v>
      </c>
      <c r="B2919" s="1" t="str">
        <f t="shared" si="67"/>
        <v>02406911202</v>
      </c>
      <c r="C2919" s="1" t="s">
        <v>13</v>
      </c>
      <c r="D2919" s="1" t="s">
        <v>37</v>
      </c>
      <c r="E2919" s="1" t="s">
        <v>5455</v>
      </c>
      <c r="F2919" s="1" t="s">
        <v>117</v>
      </c>
      <c r="G2919" s="1" t="str">
        <f>"01364640233"</f>
        <v>01364640233</v>
      </c>
      <c r="I2919" s="1" t="s">
        <v>2668</v>
      </c>
      <c r="L2919" s="1" t="s">
        <v>44</v>
      </c>
      <c r="M2919" s="1" t="s">
        <v>407</v>
      </c>
      <c r="AG2919" s="1" t="s">
        <v>6016</v>
      </c>
      <c r="AH2919" s="2">
        <v>45017</v>
      </c>
      <c r="AI2919" s="2">
        <v>45199</v>
      </c>
      <c r="AJ2919" s="2">
        <v>45017</v>
      </c>
    </row>
    <row r="2920" spans="1:36">
      <c r="A2920" s="1" t="str">
        <f>"Z4B3AA17B8"</f>
        <v>Z4B3AA17B8</v>
      </c>
      <c r="B2920" s="1" t="str">
        <f t="shared" si="67"/>
        <v>02406911202</v>
      </c>
      <c r="C2920" s="1" t="s">
        <v>13</v>
      </c>
      <c r="D2920" s="1" t="s">
        <v>1253</v>
      </c>
      <c r="E2920" s="1" t="s">
        <v>1262</v>
      </c>
      <c r="F2920" s="1" t="s">
        <v>49</v>
      </c>
      <c r="G2920" s="1" t="str">
        <f>"09435330965"</f>
        <v>09435330965</v>
      </c>
      <c r="I2920" s="1" t="s">
        <v>1690</v>
      </c>
      <c r="L2920" s="1" t="s">
        <v>44</v>
      </c>
      <c r="M2920" s="1" t="s">
        <v>1255</v>
      </c>
      <c r="AG2920" s="1" t="s">
        <v>6017</v>
      </c>
      <c r="AH2920" s="2">
        <v>45016</v>
      </c>
      <c r="AI2920" s="2">
        <v>45291</v>
      </c>
      <c r="AJ2920" s="2">
        <v>45016</v>
      </c>
    </row>
    <row r="2921" spans="1:36">
      <c r="A2921" s="1" t="str">
        <f>"Z283AB4BF5"</f>
        <v>Z283AB4BF5</v>
      </c>
      <c r="B2921" s="1" t="str">
        <f t="shared" si="67"/>
        <v>02406911202</v>
      </c>
      <c r="C2921" s="1" t="s">
        <v>13</v>
      </c>
      <c r="D2921" s="1" t="s">
        <v>1253</v>
      </c>
      <c r="E2921" s="1" t="s">
        <v>1260</v>
      </c>
      <c r="F2921" s="1" t="s">
        <v>49</v>
      </c>
      <c r="G2921" s="1" t="str">
        <f>"09301330966"</f>
        <v>09301330966</v>
      </c>
      <c r="I2921" s="1" t="s">
        <v>553</v>
      </c>
      <c r="L2921" s="1" t="s">
        <v>44</v>
      </c>
      <c r="M2921" s="1" t="s">
        <v>1255</v>
      </c>
      <c r="AG2921" s="1" t="s">
        <v>6018</v>
      </c>
      <c r="AH2921" s="2">
        <v>45022</v>
      </c>
      <c r="AI2921" s="2">
        <v>45291</v>
      </c>
      <c r="AJ2921" s="2">
        <v>45022</v>
      </c>
    </row>
    <row r="2922" spans="1:36">
      <c r="A2922" s="1" t="str">
        <f>"Z783ABD923"</f>
        <v>Z783ABD923</v>
      </c>
      <c r="B2922" s="1" t="str">
        <f t="shared" si="67"/>
        <v>02406911202</v>
      </c>
      <c r="C2922" s="1" t="s">
        <v>13</v>
      </c>
      <c r="D2922" s="1" t="s">
        <v>1253</v>
      </c>
      <c r="E2922" s="1" t="s">
        <v>1270</v>
      </c>
      <c r="F2922" s="1" t="s">
        <v>49</v>
      </c>
      <c r="G2922" s="1" t="str">
        <f>"10220860158"</f>
        <v>10220860158</v>
      </c>
      <c r="I2922" s="1" t="s">
        <v>1375</v>
      </c>
      <c r="L2922" s="1" t="s">
        <v>44</v>
      </c>
      <c r="M2922" s="1" t="s">
        <v>1255</v>
      </c>
      <c r="AG2922" s="1" t="s">
        <v>6019</v>
      </c>
      <c r="AH2922" s="2">
        <v>45028</v>
      </c>
      <c r="AI2922" s="2">
        <v>45291</v>
      </c>
      <c r="AJ2922" s="2">
        <v>45028</v>
      </c>
    </row>
    <row r="2923" spans="1:36">
      <c r="A2923" s="1" t="str">
        <f>"ZA83ACD64A"</f>
        <v>ZA83ACD64A</v>
      </c>
      <c r="B2923" s="1" t="str">
        <f t="shared" si="67"/>
        <v>02406911202</v>
      </c>
      <c r="C2923" s="1" t="s">
        <v>13</v>
      </c>
      <c r="D2923" s="1" t="s">
        <v>1253</v>
      </c>
      <c r="E2923" s="1" t="s">
        <v>1270</v>
      </c>
      <c r="F2923" s="1" t="s">
        <v>49</v>
      </c>
      <c r="G2923" s="1" t="str">
        <f>"05158401009"</f>
        <v>05158401009</v>
      </c>
      <c r="I2923" s="1" t="s">
        <v>3822</v>
      </c>
      <c r="L2923" s="1" t="s">
        <v>44</v>
      </c>
      <c r="M2923" s="1" t="s">
        <v>1255</v>
      </c>
      <c r="AG2923" s="1" t="s">
        <v>6020</v>
      </c>
      <c r="AH2923" s="2">
        <v>45033</v>
      </c>
      <c r="AI2923" s="2">
        <v>45291</v>
      </c>
      <c r="AJ2923" s="2">
        <v>45033</v>
      </c>
    </row>
    <row r="2924" spans="1:36">
      <c r="A2924" s="1" t="str">
        <f>"Z8F3AD4149"</f>
        <v>Z8F3AD4149</v>
      </c>
      <c r="B2924" s="1" t="str">
        <f t="shared" si="67"/>
        <v>02406911202</v>
      </c>
      <c r="C2924" s="1" t="s">
        <v>13</v>
      </c>
      <c r="D2924" s="1" t="s">
        <v>205</v>
      </c>
      <c r="E2924" s="1" t="s">
        <v>6021</v>
      </c>
      <c r="F2924" s="1" t="s">
        <v>49</v>
      </c>
      <c r="G2924" s="1" t="str">
        <f>"02410141200"</f>
        <v>02410141200</v>
      </c>
      <c r="I2924" s="1" t="s">
        <v>1920</v>
      </c>
      <c r="L2924" s="1" t="s">
        <v>44</v>
      </c>
      <c r="M2924" s="1" t="s">
        <v>6022</v>
      </c>
      <c r="AG2924" s="1" t="s">
        <v>6023</v>
      </c>
      <c r="AH2924" s="2">
        <v>44927</v>
      </c>
      <c r="AI2924" s="2">
        <v>45123</v>
      </c>
      <c r="AJ2924" s="2">
        <v>44927</v>
      </c>
    </row>
    <row r="2925" spans="1:36">
      <c r="A2925" s="1" t="str">
        <f>"9762428271"</f>
        <v>9762428271</v>
      </c>
      <c r="B2925" s="1" t="str">
        <f t="shared" si="67"/>
        <v>02406911202</v>
      </c>
      <c r="C2925" s="1" t="s">
        <v>13</v>
      </c>
      <c r="D2925" s="1" t="s">
        <v>1312</v>
      </c>
      <c r="E2925" s="1" t="s">
        <v>6024</v>
      </c>
      <c r="F2925" s="1" t="s">
        <v>49</v>
      </c>
      <c r="G2925" s="1" t="str">
        <f>"02704520341"</f>
        <v>02704520341</v>
      </c>
      <c r="I2925" s="1" t="s">
        <v>1429</v>
      </c>
      <c r="L2925" s="1" t="s">
        <v>44</v>
      </c>
      <c r="M2925" s="1" t="s">
        <v>6025</v>
      </c>
      <c r="AG2925" s="1" t="s">
        <v>6026</v>
      </c>
      <c r="AH2925" s="2">
        <v>45035</v>
      </c>
      <c r="AI2925" s="2">
        <v>45764</v>
      </c>
      <c r="AJ2925" s="2">
        <v>45035</v>
      </c>
    </row>
    <row r="2926" spans="1:36">
      <c r="A2926" s="1" t="str">
        <f>"97762966AC"</f>
        <v>97762966AC</v>
      </c>
      <c r="B2926" s="1" t="str">
        <f t="shared" si="67"/>
        <v>02406911202</v>
      </c>
      <c r="C2926" s="1" t="s">
        <v>13</v>
      </c>
      <c r="D2926" s="1" t="s">
        <v>1253</v>
      </c>
      <c r="E2926" s="1" t="s">
        <v>6027</v>
      </c>
      <c r="F2926" s="1" t="s">
        <v>49</v>
      </c>
      <c r="G2926" s="1" t="str">
        <f>"01177620299"</f>
        <v>01177620299</v>
      </c>
      <c r="I2926" s="1" t="s">
        <v>1609</v>
      </c>
      <c r="L2926" s="1" t="s">
        <v>44</v>
      </c>
      <c r="M2926" s="1" t="s">
        <v>2739</v>
      </c>
      <c r="AG2926" s="1" t="s">
        <v>6028</v>
      </c>
      <c r="AH2926" s="2">
        <v>45043</v>
      </c>
      <c r="AI2926" s="2">
        <v>45291</v>
      </c>
      <c r="AJ2926" s="2">
        <v>45043</v>
      </c>
    </row>
    <row r="2927" spans="1:36">
      <c r="A2927" s="1" t="str">
        <f>"ZF23B2EB9C"</f>
        <v>ZF23B2EB9C</v>
      </c>
      <c r="B2927" s="1" t="str">
        <f t="shared" si="67"/>
        <v>02406911202</v>
      </c>
      <c r="C2927" s="1" t="s">
        <v>13</v>
      </c>
      <c r="D2927" s="1" t="s">
        <v>205</v>
      </c>
      <c r="E2927" s="1" t="s">
        <v>6029</v>
      </c>
      <c r="F2927" s="1" t="s">
        <v>49</v>
      </c>
      <c r="G2927" s="1" t="str">
        <f>"03676761202"</f>
        <v>03676761202</v>
      </c>
      <c r="I2927" s="1" t="s">
        <v>6030</v>
      </c>
      <c r="L2927" s="1" t="s">
        <v>44</v>
      </c>
      <c r="M2927" s="1" t="s">
        <v>6031</v>
      </c>
      <c r="AG2927" s="1" t="s">
        <v>6032</v>
      </c>
      <c r="AH2927" s="2">
        <v>44927</v>
      </c>
      <c r="AI2927" s="2">
        <v>45291</v>
      </c>
      <c r="AJ2927" s="2">
        <v>44927</v>
      </c>
    </row>
    <row r="2928" spans="1:36">
      <c r="A2928" s="1" t="str">
        <f>"Z2B3B2F8A5"</f>
        <v>Z2B3B2F8A5</v>
      </c>
      <c r="B2928" s="1" t="str">
        <f t="shared" si="67"/>
        <v>02406911202</v>
      </c>
      <c r="C2928" s="1" t="s">
        <v>13</v>
      </c>
      <c r="D2928" s="1" t="s">
        <v>205</v>
      </c>
      <c r="E2928" s="1" t="s">
        <v>6033</v>
      </c>
      <c r="F2928" s="1" t="s">
        <v>49</v>
      </c>
      <c r="G2928" s="1" t="str">
        <f>"03721651200"</f>
        <v>03721651200</v>
      </c>
      <c r="I2928" s="1" t="s">
        <v>6034</v>
      </c>
      <c r="L2928" s="1" t="s">
        <v>44</v>
      </c>
      <c r="M2928" s="1" t="s">
        <v>6035</v>
      </c>
      <c r="AG2928" s="1" t="s">
        <v>6036</v>
      </c>
      <c r="AH2928" s="2">
        <v>44927</v>
      </c>
      <c r="AI2928" s="2">
        <v>45291</v>
      </c>
      <c r="AJ2928" s="2">
        <v>44927</v>
      </c>
    </row>
    <row r="2929" spans="1:36">
      <c r="A2929" s="1" t="str">
        <f>"ZF43B2F8E5"</f>
        <v>ZF43B2F8E5</v>
      </c>
      <c r="B2929" s="1" t="str">
        <f t="shared" si="67"/>
        <v>02406911202</v>
      </c>
      <c r="C2929" s="1" t="s">
        <v>13</v>
      </c>
      <c r="D2929" s="1" t="s">
        <v>205</v>
      </c>
      <c r="E2929" s="1" t="s">
        <v>6037</v>
      </c>
      <c r="F2929" s="1" t="s">
        <v>49</v>
      </c>
      <c r="G2929" s="1" t="str">
        <f>"03334291204"</f>
        <v>03334291204</v>
      </c>
      <c r="I2929" s="1" t="s">
        <v>6038</v>
      </c>
      <c r="L2929" s="1" t="s">
        <v>44</v>
      </c>
      <c r="M2929" s="1" t="s">
        <v>6039</v>
      </c>
      <c r="AG2929" s="1" t="s">
        <v>6040</v>
      </c>
      <c r="AH2929" s="2">
        <v>44927</v>
      </c>
      <c r="AI2929" s="2">
        <v>45291</v>
      </c>
      <c r="AJ2929" s="2">
        <v>44927</v>
      </c>
    </row>
    <row r="2930" spans="1:36">
      <c r="A2930" s="1" t="str">
        <f>"ZC23B2F925"</f>
        <v>ZC23B2F925</v>
      </c>
      <c r="B2930" s="1" t="str">
        <f t="shared" si="67"/>
        <v>02406911202</v>
      </c>
      <c r="C2930" s="1" t="s">
        <v>13</v>
      </c>
      <c r="D2930" s="1" t="s">
        <v>205</v>
      </c>
      <c r="E2930" s="1" t="s">
        <v>6041</v>
      </c>
      <c r="F2930" s="1" t="s">
        <v>49</v>
      </c>
      <c r="G2930" s="1" t="str">
        <f>"02120251208"</f>
        <v>02120251208</v>
      </c>
      <c r="I2930" s="1" t="s">
        <v>6042</v>
      </c>
      <c r="L2930" s="1" t="s">
        <v>44</v>
      </c>
      <c r="M2930" s="1" t="s">
        <v>6043</v>
      </c>
      <c r="AG2930" s="1" t="s">
        <v>6044</v>
      </c>
      <c r="AH2930" s="2">
        <v>44927</v>
      </c>
      <c r="AI2930" s="2">
        <v>45291</v>
      </c>
      <c r="AJ2930" s="2">
        <v>44927</v>
      </c>
    </row>
    <row r="2931" spans="1:36">
      <c r="A2931" s="1" t="str">
        <f>"ZB93B22DB9"</f>
        <v>ZB93B22DB9</v>
      </c>
      <c r="B2931" s="1" t="str">
        <f t="shared" si="67"/>
        <v>02406911202</v>
      </c>
      <c r="C2931" s="1" t="s">
        <v>13</v>
      </c>
      <c r="D2931" s="1" t="s">
        <v>1253</v>
      </c>
      <c r="E2931" s="1" t="s">
        <v>1260</v>
      </c>
      <c r="F2931" s="1" t="s">
        <v>49</v>
      </c>
      <c r="G2931" s="1" t="str">
        <f>"12259760150"</f>
        <v>12259760150</v>
      </c>
      <c r="I2931" s="1" t="s">
        <v>1605</v>
      </c>
      <c r="L2931" s="1" t="s">
        <v>44</v>
      </c>
      <c r="M2931" s="1" t="s">
        <v>1255</v>
      </c>
      <c r="AG2931" s="1" t="s">
        <v>6045</v>
      </c>
      <c r="AH2931" s="2">
        <v>45058</v>
      </c>
      <c r="AI2931" s="2">
        <v>45291</v>
      </c>
      <c r="AJ2931" s="2">
        <v>45058</v>
      </c>
    </row>
    <row r="2932" spans="1:36">
      <c r="A2932" s="1" t="str">
        <f>"ZC33B313E3"</f>
        <v>ZC33B313E3</v>
      </c>
      <c r="B2932" s="1" t="str">
        <f t="shared" si="67"/>
        <v>02406911202</v>
      </c>
      <c r="C2932" s="1" t="s">
        <v>13</v>
      </c>
      <c r="D2932" s="1" t="s">
        <v>1312</v>
      </c>
      <c r="E2932" s="1" t="s">
        <v>6046</v>
      </c>
      <c r="F2932" s="1" t="s">
        <v>49</v>
      </c>
      <c r="G2932" s="1" t="str">
        <f>"01468980626"</f>
        <v>01468980626</v>
      </c>
      <c r="I2932" s="1" t="s">
        <v>2438</v>
      </c>
      <c r="L2932" s="1" t="s">
        <v>44</v>
      </c>
      <c r="M2932" s="1" t="s">
        <v>930</v>
      </c>
      <c r="AG2932" s="1" t="s">
        <v>124</v>
      </c>
      <c r="AH2932" s="2">
        <v>45063</v>
      </c>
      <c r="AI2932" s="2">
        <v>45291</v>
      </c>
      <c r="AJ2932" s="2">
        <v>45063</v>
      </c>
    </row>
    <row r="2933" spans="1:36">
      <c r="A2933" s="1" t="str">
        <f>"Z5F3B3099A"</f>
        <v>Z5F3B3099A</v>
      </c>
      <c r="B2933" s="1" t="str">
        <f t="shared" si="67"/>
        <v>02406911202</v>
      </c>
      <c r="C2933" s="1" t="s">
        <v>13</v>
      </c>
      <c r="D2933" s="1" t="s">
        <v>1253</v>
      </c>
      <c r="E2933" s="1" t="s">
        <v>1262</v>
      </c>
      <c r="F2933" s="1" t="s">
        <v>49</v>
      </c>
      <c r="G2933" s="1" t="str">
        <f>"10087630967"</f>
        <v>10087630967</v>
      </c>
      <c r="I2933" s="1" t="s">
        <v>3414</v>
      </c>
      <c r="L2933" s="1" t="s">
        <v>44</v>
      </c>
      <c r="M2933" s="1" t="s">
        <v>1255</v>
      </c>
      <c r="AG2933" s="1" t="s">
        <v>6047</v>
      </c>
      <c r="AH2933" s="2">
        <v>45063</v>
      </c>
      <c r="AI2933" s="2">
        <v>45291</v>
      </c>
      <c r="AJ2933" s="2">
        <v>45063</v>
      </c>
    </row>
    <row r="2934" spans="1:36">
      <c r="A2934" s="1" t="str">
        <f>"Z813B314BA"</f>
        <v>Z813B314BA</v>
      </c>
      <c r="B2934" s="1" t="str">
        <f t="shared" si="67"/>
        <v>02406911202</v>
      </c>
      <c r="C2934" s="1" t="s">
        <v>13</v>
      </c>
      <c r="D2934" s="1" t="s">
        <v>205</v>
      </c>
      <c r="E2934" s="1" t="s">
        <v>6048</v>
      </c>
      <c r="F2934" s="1" t="s">
        <v>49</v>
      </c>
      <c r="G2934" s="1" t="str">
        <f>"03066341201"</f>
        <v>03066341201</v>
      </c>
      <c r="I2934" s="1" t="s">
        <v>6049</v>
      </c>
      <c r="L2934" s="1" t="s">
        <v>44</v>
      </c>
      <c r="M2934" s="1" t="s">
        <v>6050</v>
      </c>
      <c r="AG2934" s="1" t="s">
        <v>6051</v>
      </c>
      <c r="AH2934" s="2">
        <v>44927</v>
      </c>
      <c r="AI2934" s="2">
        <v>45291</v>
      </c>
      <c r="AJ2934" s="2">
        <v>44927</v>
      </c>
    </row>
    <row r="2935" spans="1:36">
      <c r="A2935" s="1" t="str">
        <f>"ZED3B309A3"</f>
        <v>ZED3B309A3</v>
      </c>
      <c r="B2935" s="1" t="str">
        <f t="shared" si="67"/>
        <v>02406911202</v>
      </c>
      <c r="C2935" s="1" t="s">
        <v>13</v>
      </c>
      <c r="D2935" s="1" t="s">
        <v>1253</v>
      </c>
      <c r="E2935" s="1" t="s">
        <v>1262</v>
      </c>
      <c r="F2935" s="1" t="s">
        <v>49</v>
      </c>
      <c r="G2935" s="1" t="str">
        <f>"01258691003"</f>
        <v>01258691003</v>
      </c>
      <c r="I2935" s="1" t="s">
        <v>2027</v>
      </c>
      <c r="L2935" s="1" t="s">
        <v>44</v>
      </c>
      <c r="M2935" s="1" t="s">
        <v>1255</v>
      </c>
      <c r="AG2935" s="1" t="s">
        <v>6052</v>
      </c>
      <c r="AH2935" s="2">
        <v>45063</v>
      </c>
      <c r="AI2935" s="2">
        <v>45291</v>
      </c>
      <c r="AJ2935" s="2">
        <v>45063</v>
      </c>
    </row>
    <row r="2936" spans="1:36">
      <c r="A2936" s="1" t="str">
        <f>"ZA23B318B8"</f>
        <v>ZA23B318B8</v>
      </c>
      <c r="B2936" s="1" t="str">
        <f t="shared" si="67"/>
        <v>02406911202</v>
      </c>
      <c r="C2936" s="1" t="s">
        <v>13</v>
      </c>
      <c r="D2936" s="1" t="s">
        <v>1253</v>
      </c>
      <c r="E2936" s="1" t="s">
        <v>1270</v>
      </c>
      <c r="F2936" s="1" t="s">
        <v>49</v>
      </c>
      <c r="G2936" s="1" t="str">
        <f>"03197541208"</f>
        <v>03197541208</v>
      </c>
      <c r="I2936" s="1" t="s">
        <v>6053</v>
      </c>
      <c r="L2936" s="1" t="s">
        <v>44</v>
      </c>
      <c r="M2936" s="1" t="s">
        <v>153</v>
      </c>
      <c r="AG2936" s="1" t="s">
        <v>6054</v>
      </c>
      <c r="AH2936" s="2">
        <v>45063</v>
      </c>
      <c r="AI2936" s="2">
        <v>45291</v>
      </c>
      <c r="AJ2936" s="2">
        <v>45063</v>
      </c>
    </row>
    <row r="2937" spans="1:36">
      <c r="A2937" s="1" t="str">
        <f>"ZC73B319DE"</f>
        <v>ZC73B319DE</v>
      </c>
      <c r="B2937" s="1" t="str">
        <f t="shared" si="67"/>
        <v>02406911202</v>
      </c>
      <c r="C2937" s="1" t="s">
        <v>13</v>
      </c>
      <c r="D2937" s="1" t="s">
        <v>205</v>
      </c>
      <c r="E2937" s="1" t="s">
        <v>6055</v>
      </c>
      <c r="F2937" s="1" t="s">
        <v>49</v>
      </c>
      <c r="G2937" s="1" t="str">
        <f>"03077801201"</f>
        <v>03077801201</v>
      </c>
      <c r="I2937" s="1" t="s">
        <v>6056</v>
      </c>
      <c r="L2937" s="1" t="s">
        <v>44</v>
      </c>
      <c r="M2937" s="1" t="s">
        <v>6057</v>
      </c>
      <c r="AG2937" s="1" t="s">
        <v>124</v>
      </c>
      <c r="AH2937" s="2">
        <v>44927</v>
      </c>
      <c r="AI2937" s="2">
        <v>45291</v>
      </c>
      <c r="AJ2937" s="2">
        <v>44927</v>
      </c>
    </row>
    <row r="2938" spans="1:36">
      <c r="A2938" s="1" t="str">
        <f>"Z4F3B5C930"</f>
        <v>Z4F3B5C930</v>
      </c>
      <c r="B2938" s="1" t="str">
        <f t="shared" si="67"/>
        <v>02406911202</v>
      </c>
      <c r="C2938" s="1" t="s">
        <v>13</v>
      </c>
      <c r="D2938" s="1" t="s">
        <v>1312</v>
      </c>
      <c r="E2938" s="1" t="s">
        <v>6058</v>
      </c>
      <c r="F2938" s="1" t="s">
        <v>49</v>
      </c>
      <c r="G2938" s="1" t="str">
        <f>"00517711206"</f>
        <v>00517711206</v>
      </c>
      <c r="I2938" s="1" t="s">
        <v>2852</v>
      </c>
      <c r="L2938" s="1" t="s">
        <v>44</v>
      </c>
      <c r="M2938" s="1" t="s">
        <v>6059</v>
      </c>
      <c r="AG2938" s="1" t="s">
        <v>6059</v>
      </c>
      <c r="AH2938" s="2">
        <v>45047</v>
      </c>
      <c r="AI2938" s="2">
        <v>45077</v>
      </c>
      <c r="AJ2938" s="2">
        <v>45047</v>
      </c>
    </row>
    <row r="2939" spans="1:36">
      <c r="A2939" s="1" t="str">
        <f>"9858752385"</f>
        <v>9858752385</v>
      </c>
      <c r="B2939" s="1" t="str">
        <f t="shared" si="67"/>
        <v>02406911202</v>
      </c>
      <c r="C2939" s="1" t="s">
        <v>13</v>
      </c>
      <c r="D2939" s="1" t="s">
        <v>37</v>
      </c>
      <c r="E2939" s="1" t="s">
        <v>6060</v>
      </c>
      <c r="F2939" s="1" t="s">
        <v>117</v>
      </c>
      <c r="G2939" s="1" t="str">
        <f>"00887261006"</f>
        <v>00887261006</v>
      </c>
      <c r="I2939" s="1" t="s">
        <v>2041</v>
      </c>
      <c r="L2939" s="1" t="s">
        <v>44</v>
      </c>
      <c r="M2939" s="1" t="s">
        <v>6061</v>
      </c>
      <c r="AG2939" s="1" t="s">
        <v>6062</v>
      </c>
      <c r="AH2939" s="2">
        <v>45082</v>
      </c>
      <c r="AI2939" s="2">
        <v>45443</v>
      </c>
      <c r="AJ2939" s="2">
        <v>45082</v>
      </c>
    </row>
    <row r="2940" spans="1:36">
      <c r="A2940" s="1" t="str">
        <f>"Z893B67B94"</f>
        <v>Z893B67B94</v>
      </c>
      <c r="B2940" s="1" t="str">
        <f t="shared" si="67"/>
        <v>02406911202</v>
      </c>
      <c r="C2940" s="1" t="s">
        <v>13</v>
      </c>
      <c r="D2940" s="1" t="s">
        <v>1312</v>
      </c>
      <c r="E2940" s="1" t="s">
        <v>6063</v>
      </c>
      <c r="F2940" s="1" t="s">
        <v>49</v>
      </c>
      <c r="G2940" s="1" t="str">
        <f>"00953780962"</f>
        <v>00953780962</v>
      </c>
      <c r="I2940" s="1" t="s">
        <v>3252</v>
      </c>
      <c r="L2940" s="1" t="s">
        <v>44</v>
      </c>
      <c r="M2940" s="1" t="s">
        <v>1314</v>
      </c>
      <c r="AG2940" s="1" t="s">
        <v>6064</v>
      </c>
      <c r="AH2940" s="2">
        <v>45078</v>
      </c>
      <c r="AI2940" s="2">
        <v>45322</v>
      </c>
      <c r="AJ2940" s="2">
        <v>45078</v>
      </c>
    </row>
    <row r="2941" spans="1:36">
      <c r="A2941" s="1" t="str">
        <f>"Z283A91830"</f>
        <v>Z283A91830</v>
      </c>
      <c r="B2941" s="1" t="str">
        <f t="shared" si="67"/>
        <v>02406911202</v>
      </c>
      <c r="C2941" s="1" t="s">
        <v>13</v>
      </c>
      <c r="D2941" s="1" t="s">
        <v>1253</v>
      </c>
      <c r="E2941" s="1" t="s">
        <v>1254</v>
      </c>
      <c r="F2941" s="1" t="s">
        <v>49</v>
      </c>
      <c r="G2941" s="1" t="str">
        <f>"03531000820"</f>
        <v>03531000820</v>
      </c>
      <c r="I2941" s="1" t="s">
        <v>5812</v>
      </c>
      <c r="L2941" s="1" t="s">
        <v>44</v>
      </c>
      <c r="M2941" s="1" t="s">
        <v>1255</v>
      </c>
      <c r="AG2941" s="1" t="s">
        <v>6065</v>
      </c>
      <c r="AH2941" s="2">
        <v>45013</v>
      </c>
      <c r="AI2941" s="2">
        <v>45291</v>
      </c>
      <c r="AJ2941" s="2">
        <v>45013</v>
      </c>
    </row>
    <row r="2942" spans="1:36">
      <c r="A2942" s="1" t="str">
        <f>"Z693A9190A"</f>
        <v>Z693A9190A</v>
      </c>
      <c r="B2942" s="1" t="str">
        <f t="shared" si="67"/>
        <v>02406911202</v>
      </c>
      <c r="C2942" s="1" t="s">
        <v>13</v>
      </c>
      <c r="D2942" s="1" t="s">
        <v>1257</v>
      </c>
      <c r="E2942" s="1" t="s">
        <v>6066</v>
      </c>
      <c r="F2942" s="1" t="s">
        <v>49</v>
      </c>
      <c r="G2942" s="1" t="str">
        <f>"01984750594"</f>
        <v>01984750594</v>
      </c>
      <c r="I2942" s="1" t="s">
        <v>6067</v>
      </c>
      <c r="L2942" s="1" t="s">
        <v>44</v>
      </c>
      <c r="M2942" s="1" t="s">
        <v>6068</v>
      </c>
      <c r="AG2942" s="1" t="s">
        <v>124</v>
      </c>
      <c r="AH2942" s="2">
        <v>45013</v>
      </c>
      <c r="AI2942" s="2">
        <v>45056</v>
      </c>
      <c r="AJ2942" s="2">
        <v>45013</v>
      </c>
    </row>
    <row r="2943" spans="1:36">
      <c r="A2943" s="1" t="str">
        <f>"Z693A9190A"</f>
        <v>Z693A9190A</v>
      </c>
      <c r="B2943" s="1" t="str">
        <f t="shared" si="67"/>
        <v>02406911202</v>
      </c>
      <c r="C2943" s="1" t="s">
        <v>13</v>
      </c>
      <c r="D2943" s="1" t="s">
        <v>1257</v>
      </c>
      <c r="E2943" s="1" t="s">
        <v>6066</v>
      </c>
      <c r="F2943" s="1" t="s">
        <v>49</v>
      </c>
      <c r="G2943" s="1" t="str">
        <f>"01167730355"</f>
        <v>01167730355</v>
      </c>
      <c r="I2943" s="1" t="s">
        <v>5801</v>
      </c>
      <c r="L2943" s="1" t="s">
        <v>41</v>
      </c>
      <c r="AJ2943" s="2">
        <v>45013</v>
      </c>
    </row>
    <row r="2944" spans="1:36">
      <c r="A2944" s="1" t="str">
        <f>"Z8F3A9197A"</f>
        <v>Z8F3A9197A</v>
      </c>
      <c r="B2944" s="1" t="str">
        <f t="shared" si="67"/>
        <v>02406911202</v>
      </c>
      <c r="C2944" s="1" t="s">
        <v>13</v>
      </c>
      <c r="D2944" s="1" t="s">
        <v>1253</v>
      </c>
      <c r="E2944" s="1" t="s">
        <v>1254</v>
      </c>
      <c r="F2944" s="1" t="s">
        <v>49</v>
      </c>
      <c r="G2944" s="1" t="str">
        <f>"01458881008"</f>
        <v>01458881008</v>
      </c>
      <c r="I2944" s="1" t="s">
        <v>5807</v>
      </c>
      <c r="L2944" s="1" t="s">
        <v>44</v>
      </c>
      <c r="M2944" s="1" t="s">
        <v>1255</v>
      </c>
      <c r="AG2944" s="1" t="s">
        <v>3301</v>
      </c>
      <c r="AH2944" s="2">
        <v>45013</v>
      </c>
      <c r="AI2944" s="2">
        <v>45291</v>
      </c>
      <c r="AJ2944" s="2">
        <v>45013</v>
      </c>
    </row>
    <row r="2945" spans="1:36">
      <c r="A2945" s="1" t="str">
        <f>"Z623A93A73"</f>
        <v>Z623A93A73</v>
      </c>
      <c r="B2945" s="1" t="str">
        <f t="shared" si="67"/>
        <v>02406911202</v>
      </c>
      <c r="C2945" s="1" t="s">
        <v>13</v>
      </c>
      <c r="D2945" s="1" t="s">
        <v>1253</v>
      </c>
      <c r="E2945" s="1" t="s">
        <v>1317</v>
      </c>
      <c r="F2945" s="1" t="s">
        <v>49</v>
      </c>
      <c r="G2945" s="1" t="str">
        <f>"01904860671"</f>
        <v>01904860671</v>
      </c>
      <c r="I2945" s="1" t="s">
        <v>6069</v>
      </c>
      <c r="L2945" s="1" t="s">
        <v>44</v>
      </c>
      <c r="M2945" s="1" t="s">
        <v>1255</v>
      </c>
      <c r="AG2945" s="1" t="s">
        <v>124</v>
      </c>
      <c r="AH2945" s="2">
        <v>45014</v>
      </c>
      <c r="AI2945" s="2">
        <v>45291</v>
      </c>
      <c r="AJ2945" s="2">
        <v>45014</v>
      </c>
    </row>
    <row r="2946" spans="1:36">
      <c r="A2946" s="1" t="str">
        <f>"971994505D"</f>
        <v>971994505D</v>
      </c>
      <c r="B2946" s="1" t="str">
        <f t="shared" si="67"/>
        <v>02406911202</v>
      </c>
      <c r="C2946" s="1" t="s">
        <v>13</v>
      </c>
      <c r="D2946" s="1" t="s">
        <v>37</v>
      </c>
      <c r="E2946" s="1" t="s">
        <v>6070</v>
      </c>
      <c r="F2946" s="1" t="s">
        <v>117</v>
      </c>
      <c r="G2946" s="1" t="str">
        <f>"03408060964"</f>
        <v>03408060964</v>
      </c>
      <c r="I2946" s="1" t="s">
        <v>6071</v>
      </c>
      <c r="L2946" s="1" t="s">
        <v>44</v>
      </c>
      <c r="M2946" s="1" t="s">
        <v>6072</v>
      </c>
      <c r="AG2946" s="1" t="s">
        <v>124</v>
      </c>
      <c r="AH2946" s="2">
        <v>44986</v>
      </c>
      <c r="AI2946" s="2">
        <v>46022</v>
      </c>
      <c r="AJ2946" s="2">
        <v>44986</v>
      </c>
    </row>
    <row r="2947" spans="1:36">
      <c r="A2947" s="1" t="str">
        <f>"ZD23AB5871"</f>
        <v>ZD23AB5871</v>
      </c>
      <c r="B2947" s="1" t="str">
        <f t="shared" si="67"/>
        <v>02406911202</v>
      </c>
      <c r="C2947" s="1" t="s">
        <v>13</v>
      </c>
      <c r="D2947" s="1" t="s">
        <v>205</v>
      </c>
      <c r="E2947" s="1" t="s">
        <v>6073</v>
      </c>
      <c r="F2947" s="1" t="s">
        <v>49</v>
      </c>
      <c r="G2947" s="1" t="str">
        <f>"02795501200"</f>
        <v>02795501200</v>
      </c>
      <c r="I2947" s="1" t="s">
        <v>6074</v>
      </c>
      <c r="L2947" s="1" t="s">
        <v>44</v>
      </c>
      <c r="M2947" s="1" t="s">
        <v>83</v>
      </c>
      <c r="AG2947" s="1" t="s">
        <v>124</v>
      </c>
      <c r="AH2947" s="2">
        <v>44986</v>
      </c>
      <c r="AI2947" s="2">
        <v>45291</v>
      </c>
      <c r="AJ2947" s="2">
        <v>44986</v>
      </c>
    </row>
    <row r="2948" spans="1:36">
      <c r="A2948" s="1" t="str">
        <f>"ZED3ABC7A6"</f>
        <v>ZED3ABC7A6</v>
      </c>
      <c r="B2948" s="1" t="str">
        <f t="shared" si="67"/>
        <v>02406911202</v>
      </c>
      <c r="C2948" s="1" t="s">
        <v>13</v>
      </c>
      <c r="D2948" s="1" t="s">
        <v>1253</v>
      </c>
      <c r="E2948" s="1" t="s">
        <v>1262</v>
      </c>
      <c r="F2948" s="1" t="s">
        <v>49</v>
      </c>
      <c r="G2948" s="1" t="str">
        <f>"01099110999"</f>
        <v>01099110999</v>
      </c>
      <c r="I2948" s="1" t="s">
        <v>2498</v>
      </c>
      <c r="L2948" s="1" t="s">
        <v>44</v>
      </c>
      <c r="M2948" s="1" t="s">
        <v>1255</v>
      </c>
      <c r="AG2948" s="1" t="s">
        <v>6075</v>
      </c>
      <c r="AH2948" s="2">
        <v>45027</v>
      </c>
      <c r="AI2948" s="2">
        <v>45291</v>
      </c>
      <c r="AJ2948" s="2">
        <v>45027</v>
      </c>
    </row>
    <row r="2949" spans="1:36">
      <c r="A2949" s="1" t="str">
        <f>"97699501CB"</f>
        <v>97699501CB</v>
      </c>
      <c r="B2949" s="1" t="str">
        <f t="shared" si="67"/>
        <v>02406911202</v>
      </c>
      <c r="C2949" s="1" t="s">
        <v>13</v>
      </c>
      <c r="D2949" s="1" t="s">
        <v>37</v>
      </c>
      <c r="E2949" s="1" t="s">
        <v>6076</v>
      </c>
      <c r="F2949" s="1" t="s">
        <v>39</v>
      </c>
      <c r="G2949" s="1" t="str">
        <f>"01489790996"</f>
        <v>01489790996</v>
      </c>
      <c r="I2949" s="1" t="s">
        <v>384</v>
      </c>
      <c r="L2949" s="1" t="s">
        <v>44</v>
      </c>
      <c r="M2949" s="1" t="s">
        <v>386</v>
      </c>
      <c r="AG2949" s="1" t="s">
        <v>6077</v>
      </c>
      <c r="AH2949" s="2">
        <v>45029</v>
      </c>
      <c r="AI2949" s="2">
        <v>45394</v>
      </c>
      <c r="AJ2949" s="2">
        <v>45029</v>
      </c>
    </row>
    <row r="2950" spans="1:36">
      <c r="A2950" s="1" t="str">
        <f>"Z8E3AB26BD"</f>
        <v>Z8E3AB26BD</v>
      </c>
      <c r="B2950" s="1" t="str">
        <f t="shared" ref="B2950:B3013" si="69">"02406911202"</f>
        <v>02406911202</v>
      </c>
      <c r="C2950" s="1" t="s">
        <v>13</v>
      </c>
      <c r="D2950" s="1" t="s">
        <v>1253</v>
      </c>
      <c r="E2950" s="1" t="s">
        <v>1317</v>
      </c>
      <c r="F2950" s="1" t="s">
        <v>49</v>
      </c>
      <c r="G2950" s="1" t="str">
        <f>"01629650167"</f>
        <v>01629650167</v>
      </c>
      <c r="I2950" s="1" t="s">
        <v>6078</v>
      </c>
      <c r="L2950" s="1" t="s">
        <v>44</v>
      </c>
      <c r="M2950" s="1" t="s">
        <v>1255</v>
      </c>
      <c r="AG2950" s="1" t="s">
        <v>6079</v>
      </c>
      <c r="AH2950" s="2">
        <v>45033</v>
      </c>
      <c r="AI2950" s="2">
        <v>45291</v>
      </c>
      <c r="AJ2950" s="2">
        <v>45033</v>
      </c>
    </row>
    <row r="2951" spans="1:36">
      <c r="A2951" s="1" t="str">
        <f>"Z8A39B6FC7"</f>
        <v>Z8A39B6FC7</v>
      </c>
      <c r="B2951" s="1" t="str">
        <f t="shared" si="69"/>
        <v>02406911202</v>
      </c>
      <c r="C2951" s="1" t="s">
        <v>13</v>
      </c>
      <c r="D2951" s="1" t="s">
        <v>37</v>
      </c>
      <c r="E2951" s="1" t="s">
        <v>6080</v>
      </c>
      <c r="F2951" s="1" t="s">
        <v>117</v>
      </c>
      <c r="G2951" s="1" t="str">
        <f>"00784230872"</f>
        <v>00784230872</v>
      </c>
      <c r="I2951" s="1" t="s">
        <v>6081</v>
      </c>
      <c r="L2951" s="1" t="s">
        <v>44</v>
      </c>
      <c r="M2951" s="1" t="s">
        <v>6082</v>
      </c>
      <c r="AG2951" s="1" t="s">
        <v>6083</v>
      </c>
      <c r="AH2951" s="2">
        <v>44957</v>
      </c>
      <c r="AI2951" s="2">
        <v>45309</v>
      </c>
      <c r="AJ2951" s="2">
        <v>44957</v>
      </c>
    </row>
    <row r="2952" spans="1:36">
      <c r="A2952" s="1" t="str">
        <f>"96285399BC"</f>
        <v>96285399BC</v>
      </c>
      <c r="B2952" s="1" t="str">
        <f t="shared" si="69"/>
        <v>02406911202</v>
      </c>
      <c r="C2952" s="1" t="s">
        <v>13</v>
      </c>
      <c r="D2952" s="1" t="s">
        <v>37</v>
      </c>
      <c r="E2952" s="1" t="s">
        <v>6084</v>
      </c>
      <c r="F2952" s="1" t="s">
        <v>117</v>
      </c>
      <c r="G2952" s="1" t="str">
        <f>"00503151201"</f>
        <v>00503151201</v>
      </c>
      <c r="I2952" s="1" t="s">
        <v>2329</v>
      </c>
      <c r="L2952" s="1" t="s">
        <v>44</v>
      </c>
      <c r="M2952" s="1" t="s">
        <v>6085</v>
      </c>
      <c r="AG2952" s="1" t="s">
        <v>6086</v>
      </c>
      <c r="AH2952" s="2">
        <v>44957</v>
      </c>
      <c r="AI2952" s="2">
        <v>45309</v>
      </c>
      <c r="AJ2952" s="2">
        <v>44957</v>
      </c>
    </row>
    <row r="2953" spans="1:36">
      <c r="A2953" s="1" t="str">
        <f>"97839670FD"</f>
        <v>97839670FD</v>
      </c>
      <c r="B2953" s="1" t="str">
        <f t="shared" si="69"/>
        <v>02406911202</v>
      </c>
      <c r="C2953" s="1" t="s">
        <v>13</v>
      </c>
      <c r="D2953" s="1" t="s">
        <v>1312</v>
      </c>
      <c r="E2953" s="1" t="s">
        <v>6087</v>
      </c>
      <c r="F2953" s="1" t="s">
        <v>49</v>
      </c>
      <c r="G2953" s="1" t="str">
        <f>"07435060152"</f>
        <v>07435060152</v>
      </c>
      <c r="I2953" s="1" t="s">
        <v>359</v>
      </c>
      <c r="L2953" s="1" t="s">
        <v>44</v>
      </c>
      <c r="M2953" s="1" t="s">
        <v>6088</v>
      </c>
      <c r="AG2953" s="1" t="s">
        <v>3158</v>
      </c>
      <c r="AH2953" s="2">
        <v>45049</v>
      </c>
      <c r="AI2953" s="2">
        <v>45199</v>
      </c>
      <c r="AJ2953" s="2">
        <v>45049</v>
      </c>
    </row>
    <row r="2954" spans="1:36">
      <c r="A2954" s="1" t="str">
        <f>"ZD13B22772"</f>
        <v>ZD13B22772</v>
      </c>
      <c r="B2954" s="1" t="str">
        <f t="shared" si="69"/>
        <v>02406911202</v>
      </c>
      <c r="C2954" s="1" t="s">
        <v>13</v>
      </c>
      <c r="D2954" s="1" t="s">
        <v>1312</v>
      </c>
      <c r="E2954" s="1" t="s">
        <v>6089</v>
      </c>
      <c r="F2954" s="1" t="s">
        <v>49</v>
      </c>
      <c r="G2954" s="1" t="str">
        <f>"00645130238"</f>
        <v>00645130238</v>
      </c>
      <c r="I2954" s="1" t="s">
        <v>6090</v>
      </c>
      <c r="L2954" s="1" t="s">
        <v>44</v>
      </c>
      <c r="M2954" s="1" t="s">
        <v>1735</v>
      </c>
      <c r="AG2954" s="1" t="s">
        <v>124</v>
      </c>
      <c r="AH2954" s="2">
        <v>45058</v>
      </c>
      <c r="AI2954" s="2">
        <v>45291</v>
      </c>
      <c r="AJ2954" s="2">
        <v>45058</v>
      </c>
    </row>
    <row r="2955" spans="1:36">
      <c r="A2955" s="1" t="str">
        <f>"ZA83B31A56"</f>
        <v>ZA83B31A56</v>
      </c>
      <c r="B2955" s="1" t="str">
        <f t="shared" si="69"/>
        <v>02406911202</v>
      </c>
      <c r="C2955" s="1" t="s">
        <v>13</v>
      </c>
      <c r="D2955" s="1" t="s">
        <v>205</v>
      </c>
      <c r="E2955" s="1" t="s">
        <v>6091</v>
      </c>
      <c r="F2955" s="1" t="s">
        <v>49</v>
      </c>
      <c r="G2955" s="1" t="str">
        <f>"03402381200"</f>
        <v>03402381200</v>
      </c>
      <c r="I2955" s="1" t="s">
        <v>6092</v>
      </c>
      <c r="L2955" s="1" t="s">
        <v>44</v>
      </c>
      <c r="M2955" s="1" t="s">
        <v>6093</v>
      </c>
      <c r="AG2955" s="1" t="s">
        <v>6094</v>
      </c>
      <c r="AH2955" s="2">
        <v>44927</v>
      </c>
      <c r="AI2955" s="2">
        <v>45291</v>
      </c>
      <c r="AJ2955" s="2">
        <v>44927</v>
      </c>
    </row>
    <row r="2956" spans="1:36">
      <c r="A2956" s="1" t="str">
        <f>"Z7A3B31AAF"</f>
        <v>Z7A3B31AAF</v>
      </c>
      <c r="B2956" s="1" t="str">
        <f t="shared" si="69"/>
        <v>02406911202</v>
      </c>
      <c r="C2956" s="1" t="s">
        <v>13</v>
      </c>
      <c r="D2956" s="1" t="s">
        <v>205</v>
      </c>
      <c r="E2956" s="1" t="s">
        <v>6095</v>
      </c>
      <c r="F2956" s="1" t="s">
        <v>49</v>
      </c>
      <c r="G2956" s="1" t="str">
        <f>"04078051200"</f>
        <v>04078051200</v>
      </c>
      <c r="I2956" s="1" t="s">
        <v>6096</v>
      </c>
      <c r="L2956" s="1" t="s">
        <v>44</v>
      </c>
      <c r="M2956" s="1" t="s">
        <v>6097</v>
      </c>
      <c r="AG2956" s="1" t="s">
        <v>6098</v>
      </c>
      <c r="AH2956" s="2">
        <v>44927</v>
      </c>
      <c r="AI2956" s="2">
        <v>45291</v>
      </c>
      <c r="AJ2956" s="2">
        <v>44927</v>
      </c>
    </row>
    <row r="2957" spans="1:36">
      <c r="A2957" s="1" t="str">
        <f>"Z8B3B32912"</f>
        <v>Z8B3B32912</v>
      </c>
      <c r="B2957" s="1" t="str">
        <f t="shared" si="69"/>
        <v>02406911202</v>
      </c>
      <c r="C2957" s="1" t="s">
        <v>13</v>
      </c>
      <c r="D2957" s="1" t="s">
        <v>205</v>
      </c>
      <c r="E2957" s="1" t="s">
        <v>6099</v>
      </c>
      <c r="F2957" s="1" t="s">
        <v>49</v>
      </c>
      <c r="G2957" s="1" t="str">
        <f>"03576661205"</f>
        <v>03576661205</v>
      </c>
      <c r="I2957" s="1" t="s">
        <v>6100</v>
      </c>
      <c r="L2957" s="1" t="s">
        <v>44</v>
      </c>
      <c r="M2957" s="1" t="s">
        <v>6101</v>
      </c>
      <c r="AG2957" s="1" t="s">
        <v>6102</v>
      </c>
      <c r="AH2957" s="2">
        <v>44927</v>
      </c>
      <c r="AI2957" s="2">
        <v>45291</v>
      </c>
      <c r="AJ2957" s="2">
        <v>44927</v>
      </c>
    </row>
    <row r="2958" spans="1:36">
      <c r="A2958" s="1" t="str">
        <f>"Z1C3B3298C"</f>
        <v>Z1C3B3298C</v>
      </c>
      <c r="B2958" s="1" t="str">
        <f t="shared" si="69"/>
        <v>02406911202</v>
      </c>
      <c r="C2958" s="1" t="s">
        <v>13</v>
      </c>
      <c r="D2958" s="1" t="s">
        <v>205</v>
      </c>
      <c r="E2958" s="1" t="s">
        <v>6103</v>
      </c>
      <c r="F2958" s="1" t="s">
        <v>49</v>
      </c>
      <c r="G2958" s="1" t="str">
        <f>"03553561204"</f>
        <v>03553561204</v>
      </c>
      <c r="I2958" s="1" t="s">
        <v>6104</v>
      </c>
      <c r="L2958" s="1" t="s">
        <v>44</v>
      </c>
      <c r="M2958" s="1" t="s">
        <v>6105</v>
      </c>
      <c r="AG2958" s="1" t="s">
        <v>6106</v>
      </c>
      <c r="AH2958" s="2">
        <v>44927</v>
      </c>
      <c r="AI2958" s="2">
        <v>45291</v>
      </c>
      <c r="AJ2958" s="2">
        <v>44927</v>
      </c>
    </row>
    <row r="2959" spans="1:36">
      <c r="A2959" s="1" t="str">
        <f>"Z0D3B32A68"</f>
        <v>Z0D3B32A68</v>
      </c>
      <c r="B2959" s="1" t="str">
        <f t="shared" si="69"/>
        <v>02406911202</v>
      </c>
      <c r="C2959" s="1" t="s">
        <v>13</v>
      </c>
      <c r="D2959" s="1" t="s">
        <v>205</v>
      </c>
      <c r="E2959" s="1" t="s">
        <v>6107</v>
      </c>
      <c r="F2959" s="1" t="s">
        <v>49</v>
      </c>
      <c r="G2959" s="1" t="str">
        <f>"03566061200"</f>
        <v>03566061200</v>
      </c>
      <c r="I2959" s="1" t="s">
        <v>6108</v>
      </c>
      <c r="L2959" s="1" t="s">
        <v>44</v>
      </c>
      <c r="M2959" s="1" t="s">
        <v>6109</v>
      </c>
      <c r="AG2959" s="1" t="s">
        <v>6110</v>
      </c>
      <c r="AH2959" s="2">
        <v>44927</v>
      </c>
      <c r="AI2959" s="2">
        <v>45291</v>
      </c>
      <c r="AJ2959" s="2">
        <v>44927</v>
      </c>
    </row>
    <row r="2960" spans="1:36">
      <c r="A2960" s="1" t="str">
        <f>"ZE93B32AE0"</f>
        <v>ZE93B32AE0</v>
      </c>
      <c r="B2960" s="1" t="str">
        <f t="shared" si="69"/>
        <v>02406911202</v>
      </c>
      <c r="C2960" s="1" t="s">
        <v>13</v>
      </c>
      <c r="D2960" s="1" t="s">
        <v>205</v>
      </c>
      <c r="E2960" s="1" t="s">
        <v>6111</v>
      </c>
      <c r="F2960" s="1" t="s">
        <v>49</v>
      </c>
      <c r="G2960" s="1" t="str">
        <f>"03560021200"</f>
        <v>03560021200</v>
      </c>
      <c r="I2960" s="1" t="s">
        <v>6112</v>
      </c>
      <c r="L2960" s="1" t="s">
        <v>44</v>
      </c>
      <c r="M2960" s="1" t="s">
        <v>6113</v>
      </c>
      <c r="AG2960" s="1" t="s">
        <v>6114</v>
      </c>
      <c r="AH2960" s="2">
        <v>44927</v>
      </c>
      <c r="AI2960" s="2">
        <v>45291</v>
      </c>
      <c r="AJ2960" s="2">
        <v>44927</v>
      </c>
    </row>
    <row r="2961" spans="1:36">
      <c r="A2961" s="1" t="str">
        <f>"ZC63B32B3F"</f>
        <v>ZC63B32B3F</v>
      </c>
      <c r="B2961" s="1" t="str">
        <f t="shared" si="69"/>
        <v>02406911202</v>
      </c>
      <c r="C2961" s="1" t="s">
        <v>13</v>
      </c>
      <c r="D2961" s="1" t="s">
        <v>205</v>
      </c>
      <c r="E2961" s="1" t="s">
        <v>6115</v>
      </c>
      <c r="F2961" s="1" t="s">
        <v>49</v>
      </c>
      <c r="G2961" s="1" t="str">
        <f>"03561881206"</f>
        <v>03561881206</v>
      </c>
      <c r="I2961" s="1" t="s">
        <v>6116</v>
      </c>
      <c r="L2961" s="1" t="s">
        <v>44</v>
      </c>
      <c r="M2961" s="1" t="s">
        <v>6117</v>
      </c>
      <c r="AG2961" s="1" t="s">
        <v>6118</v>
      </c>
      <c r="AH2961" s="2">
        <v>44927</v>
      </c>
      <c r="AI2961" s="2">
        <v>45291</v>
      </c>
      <c r="AJ2961" s="2">
        <v>44927</v>
      </c>
    </row>
    <row r="2962" spans="1:36">
      <c r="A2962" s="1" t="str">
        <f>"Z5F3B32CE6"</f>
        <v>Z5F3B32CE6</v>
      </c>
      <c r="B2962" s="1" t="str">
        <f t="shared" si="69"/>
        <v>02406911202</v>
      </c>
      <c r="C2962" s="1" t="s">
        <v>13</v>
      </c>
      <c r="D2962" s="1" t="s">
        <v>205</v>
      </c>
      <c r="E2962" s="1" t="s">
        <v>6119</v>
      </c>
      <c r="F2962" s="1" t="s">
        <v>49</v>
      </c>
      <c r="G2962" s="1" t="str">
        <f>"03161561208"</f>
        <v>03161561208</v>
      </c>
      <c r="I2962" s="1" t="s">
        <v>6120</v>
      </c>
      <c r="L2962" s="1" t="s">
        <v>44</v>
      </c>
      <c r="M2962" s="1" t="s">
        <v>6121</v>
      </c>
      <c r="AG2962" s="1" t="s">
        <v>6122</v>
      </c>
      <c r="AH2962" s="2">
        <v>44927</v>
      </c>
      <c r="AI2962" s="2">
        <v>45291</v>
      </c>
      <c r="AJ2962" s="2">
        <v>44927</v>
      </c>
    </row>
    <row r="2963" spans="1:36">
      <c r="A2963" s="1" t="str">
        <f>"Z353B32D58"</f>
        <v>Z353B32D58</v>
      </c>
      <c r="B2963" s="1" t="str">
        <f t="shared" si="69"/>
        <v>02406911202</v>
      </c>
      <c r="C2963" s="1" t="s">
        <v>13</v>
      </c>
      <c r="D2963" s="1" t="s">
        <v>205</v>
      </c>
      <c r="E2963" s="1" t="s">
        <v>6123</v>
      </c>
      <c r="F2963" s="1" t="s">
        <v>49</v>
      </c>
      <c r="G2963" s="1" t="str">
        <f>"03178921205"</f>
        <v>03178921205</v>
      </c>
      <c r="I2963" s="1" t="s">
        <v>6124</v>
      </c>
      <c r="L2963" s="1" t="s">
        <v>44</v>
      </c>
      <c r="M2963" s="1" t="s">
        <v>6125</v>
      </c>
      <c r="AG2963" s="1" t="s">
        <v>6126</v>
      </c>
      <c r="AH2963" s="2">
        <v>44927</v>
      </c>
      <c r="AI2963" s="2">
        <v>45291</v>
      </c>
      <c r="AJ2963" s="2">
        <v>44927</v>
      </c>
    </row>
    <row r="2964" spans="1:36">
      <c r="A2964" s="1" t="str">
        <f>"ZB13B32E69"</f>
        <v>ZB13B32E69</v>
      </c>
      <c r="B2964" s="1" t="str">
        <f t="shared" si="69"/>
        <v>02406911202</v>
      </c>
      <c r="C2964" s="1" t="s">
        <v>13</v>
      </c>
      <c r="D2964" s="1" t="s">
        <v>205</v>
      </c>
      <c r="E2964" s="1" t="s">
        <v>6127</v>
      </c>
      <c r="F2964" s="1" t="s">
        <v>49</v>
      </c>
      <c r="G2964" s="1" t="str">
        <f>"03172981205"</f>
        <v>03172981205</v>
      </c>
      <c r="I2964" s="1" t="s">
        <v>6128</v>
      </c>
      <c r="L2964" s="1" t="s">
        <v>44</v>
      </c>
      <c r="M2964" s="1" t="s">
        <v>6129</v>
      </c>
      <c r="AG2964" s="1" t="s">
        <v>6130</v>
      </c>
      <c r="AH2964" s="2">
        <v>44927</v>
      </c>
      <c r="AI2964" s="2">
        <v>45291</v>
      </c>
      <c r="AJ2964" s="2">
        <v>44927</v>
      </c>
    </row>
    <row r="2965" spans="1:36">
      <c r="A2965" s="1" t="str">
        <f>"Z1A3B32EE4"</f>
        <v>Z1A3B32EE4</v>
      </c>
      <c r="B2965" s="1" t="str">
        <f t="shared" si="69"/>
        <v>02406911202</v>
      </c>
      <c r="C2965" s="1" t="s">
        <v>13</v>
      </c>
      <c r="D2965" s="1" t="s">
        <v>205</v>
      </c>
      <c r="E2965" s="1" t="s">
        <v>6131</v>
      </c>
      <c r="F2965" s="1" t="s">
        <v>49</v>
      </c>
      <c r="G2965" s="1" t="str">
        <f>"03748011206"</f>
        <v>03748011206</v>
      </c>
      <c r="I2965" s="1" t="s">
        <v>6132</v>
      </c>
      <c r="L2965" s="1" t="s">
        <v>44</v>
      </c>
      <c r="M2965" s="1" t="s">
        <v>6133</v>
      </c>
      <c r="AG2965" s="1" t="s">
        <v>6134</v>
      </c>
      <c r="AH2965" s="2">
        <v>44927</v>
      </c>
      <c r="AI2965" s="2">
        <v>45291</v>
      </c>
      <c r="AJ2965" s="2">
        <v>44927</v>
      </c>
    </row>
    <row r="2966" spans="1:36">
      <c r="A2966" s="1" t="str">
        <f>"Z5E3B32F92"</f>
        <v>Z5E3B32F92</v>
      </c>
      <c r="B2966" s="1" t="str">
        <f t="shared" si="69"/>
        <v>02406911202</v>
      </c>
      <c r="C2966" s="1" t="s">
        <v>13</v>
      </c>
      <c r="D2966" s="1" t="s">
        <v>205</v>
      </c>
      <c r="E2966" s="1" t="s">
        <v>6135</v>
      </c>
      <c r="F2966" s="1" t="s">
        <v>49</v>
      </c>
      <c r="G2966" s="1" t="str">
        <f>"03554801203"</f>
        <v>03554801203</v>
      </c>
      <c r="I2966" s="1" t="s">
        <v>6136</v>
      </c>
      <c r="L2966" s="1" t="s">
        <v>44</v>
      </c>
      <c r="M2966" s="1" t="s">
        <v>6137</v>
      </c>
      <c r="AG2966" s="1" t="s">
        <v>6138</v>
      </c>
      <c r="AH2966" s="2">
        <v>44927</v>
      </c>
      <c r="AI2966" s="2">
        <v>45291</v>
      </c>
      <c r="AJ2966" s="2">
        <v>44927</v>
      </c>
    </row>
    <row r="2967" spans="1:36">
      <c r="A2967" s="1" t="str">
        <f>"Z583B32FEA"</f>
        <v>Z583B32FEA</v>
      </c>
      <c r="B2967" s="1" t="str">
        <f t="shared" si="69"/>
        <v>02406911202</v>
      </c>
      <c r="C2967" s="1" t="s">
        <v>13</v>
      </c>
      <c r="D2967" s="1" t="s">
        <v>205</v>
      </c>
      <c r="E2967" s="1" t="s">
        <v>6139</v>
      </c>
      <c r="F2967" s="1" t="s">
        <v>49</v>
      </c>
      <c r="G2967" s="1" t="str">
        <f>"03575371202"</f>
        <v>03575371202</v>
      </c>
      <c r="I2967" s="1" t="s">
        <v>6140</v>
      </c>
      <c r="L2967" s="1" t="s">
        <v>44</v>
      </c>
      <c r="M2967" s="1" t="s">
        <v>6141</v>
      </c>
      <c r="AG2967" s="1" t="s">
        <v>6142</v>
      </c>
      <c r="AH2967" s="2">
        <v>44927</v>
      </c>
      <c r="AI2967" s="2">
        <v>45291</v>
      </c>
      <c r="AJ2967" s="2">
        <v>44927</v>
      </c>
    </row>
    <row r="2968" spans="1:36">
      <c r="A2968" s="1" t="str">
        <f>"ZC03B3307E"</f>
        <v>ZC03B3307E</v>
      </c>
      <c r="B2968" s="1" t="str">
        <f t="shared" si="69"/>
        <v>02406911202</v>
      </c>
      <c r="C2968" s="1" t="s">
        <v>13</v>
      </c>
      <c r="D2968" s="1" t="s">
        <v>205</v>
      </c>
      <c r="E2968" s="1" t="s">
        <v>6143</v>
      </c>
      <c r="F2968" s="1" t="s">
        <v>49</v>
      </c>
      <c r="G2968" s="1" t="str">
        <f>"03564861205"</f>
        <v>03564861205</v>
      </c>
      <c r="I2968" s="1" t="s">
        <v>6144</v>
      </c>
      <c r="L2968" s="1" t="s">
        <v>44</v>
      </c>
      <c r="M2968" s="1" t="s">
        <v>6145</v>
      </c>
      <c r="AG2968" s="1" t="s">
        <v>6146</v>
      </c>
      <c r="AH2968" s="2">
        <v>44927</v>
      </c>
      <c r="AI2968" s="2">
        <v>45291</v>
      </c>
      <c r="AJ2968" s="2">
        <v>44927</v>
      </c>
    </row>
    <row r="2969" spans="1:36">
      <c r="A2969" s="1" t="str">
        <f>"Z4B3B4C930"</f>
        <v>Z4B3B4C930</v>
      </c>
      <c r="B2969" s="1" t="str">
        <f t="shared" si="69"/>
        <v>02406911202</v>
      </c>
      <c r="C2969" s="1" t="s">
        <v>13</v>
      </c>
      <c r="D2969" s="1" t="s">
        <v>1253</v>
      </c>
      <c r="E2969" s="1" t="s">
        <v>6147</v>
      </c>
      <c r="F2969" s="1" t="s">
        <v>49</v>
      </c>
      <c r="G2969" s="1" t="str">
        <f>"00832400154"</f>
        <v>00832400154</v>
      </c>
      <c r="I2969" s="1" t="s">
        <v>285</v>
      </c>
      <c r="L2969" s="1" t="s">
        <v>44</v>
      </c>
      <c r="M2969" s="1" t="s">
        <v>1255</v>
      </c>
      <c r="AG2969" s="1" t="s">
        <v>6148</v>
      </c>
      <c r="AH2969" s="2">
        <v>45070</v>
      </c>
      <c r="AI2969" s="2">
        <v>45291</v>
      </c>
      <c r="AJ2969" s="2">
        <v>45070</v>
      </c>
    </row>
    <row r="2970" spans="1:36">
      <c r="A2970" s="1" t="str">
        <f>"ZEF3B4C945"</f>
        <v>ZEF3B4C945</v>
      </c>
      <c r="B2970" s="1" t="str">
        <f t="shared" si="69"/>
        <v>02406911202</v>
      </c>
      <c r="C2970" s="1" t="s">
        <v>13</v>
      </c>
      <c r="D2970" s="1" t="s">
        <v>1312</v>
      </c>
      <c r="E2970" s="1" t="s">
        <v>1424</v>
      </c>
      <c r="F2970" s="1" t="s">
        <v>49</v>
      </c>
      <c r="G2970" s="1" t="str">
        <f>"01228210371"</f>
        <v>01228210371</v>
      </c>
      <c r="I2970" s="1" t="s">
        <v>1425</v>
      </c>
      <c r="L2970" s="1" t="s">
        <v>44</v>
      </c>
      <c r="M2970" s="1" t="s">
        <v>1314</v>
      </c>
      <c r="AG2970" s="1" t="s">
        <v>6149</v>
      </c>
      <c r="AH2970" s="2">
        <v>45070</v>
      </c>
      <c r="AI2970" s="2">
        <v>46022</v>
      </c>
      <c r="AJ2970" s="2">
        <v>45070</v>
      </c>
    </row>
    <row r="2971" spans="1:36">
      <c r="A2971" s="1" t="str">
        <f>"Z4E3B4C9FF"</f>
        <v>Z4E3B4C9FF</v>
      </c>
      <c r="B2971" s="1" t="str">
        <f t="shared" si="69"/>
        <v>02406911202</v>
      </c>
      <c r="C2971" s="1" t="s">
        <v>13</v>
      </c>
      <c r="D2971" s="1" t="s">
        <v>1257</v>
      </c>
      <c r="E2971" s="1" t="s">
        <v>6150</v>
      </c>
      <c r="F2971" s="1" t="s">
        <v>49</v>
      </c>
      <c r="G2971" s="1" t="str">
        <f>"02108510401"</f>
        <v>02108510401</v>
      </c>
      <c r="I2971" s="1" t="s">
        <v>1790</v>
      </c>
      <c r="L2971" s="1" t="s">
        <v>44</v>
      </c>
      <c r="M2971" s="1" t="s">
        <v>6151</v>
      </c>
      <c r="AG2971" s="1" t="s">
        <v>124</v>
      </c>
      <c r="AH2971" s="2">
        <v>45070</v>
      </c>
      <c r="AI2971" s="2">
        <v>45199</v>
      </c>
      <c r="AJ2971" s="2">
        <v>45070</v>
      </c>
    </row>
    <row r="2972" spans="1:36">
      <c r="A2972" s="1" t="str">
        <f>"Z4E3B4C9FF"</f>
        <v>Z4E3B4C9FF</v>
      </c>
      <c r="B2972" s="1" t="str">
        <f t="shared" si="69"/>
        <v>02406911202</v>
      </c>
      <c r="C2972" s="1" t="s">
        <v>13</v>
      </c>
      <c r="D2972" s="1" t="s">
        <v>1257</v>
      </c>
      <c r="E2972" s="1" t="s">
        <v>6150</v>
      </c>
      <c r="F2972" s="1" t="s">
        <v>49</v>
      </c>
      <c r="G2972" s="1" t="str">
        <f>"00435080304"</f>
        <v>00435080304</v>
      </c>
      <c r="I2972" s="1" t="s">
        <v>2213</v>
      </c>
      <c r="L2972" s="1" t="s">
        <v>41</v>
      </c>
      <c r="AJ2972" s="2">
        <v>45070</v>
      </c>
    </row>
    <row r="2973" spans="1:36">
      <c r="A2973" s="1" t="str">
        <f>"Z4E3B4C9FF"</f>
        <v>Z4E3B4C9FF</v>
      </c>
      <c r="B2973" s="1" t="str">
        <f t="shared" si="69"/>
        <v>02406911202</v>
      </c>
      <c r="C2973" s="1" t="s">
        <v>13</v>
      </c>
      <c r="D2973" s="1" t="s">
        <v>1257</v>
      </c>
      <c r="E2973" s="1" t="s">
        <v>6150</v>
      </c>
      <c r="F2973" s="1" t="s">
        <v>49</v>
      </c>
      <c r="G2973" s="1" t="str">
        <f>"02333890289"</f>
        <v>02333890289</v>
      </c>
      <c r="I2973" s="1" t="s">
        <v>1554</v>
      </c>
      <c r="L2973" s="1" t="s">
        <v>41</v>
      </c>
      <c r="AJ2973" s="2">
        <v>45070</v>
      </c>
    </row>
    <row r="2974" spans="1:36">
      <c r="A2974" s="1" t="str">
        <f>"ZB83B4CB1D"</f>
        <v>ZB83B4CB1D</v>
      </c>
      <c r="B2974" s="1" t="str">
        <f t="shared" si="69"/>
        <v>02406911202</v>
      </c>
      <c r="C2974" s="1" t="s">
        <v>13</v>
      </c>
      <c r="D2974" s="1" t="s">
        <v>1257</v>
      </c>
      <c r="E2974" s="1" t="s">
        <v>6152</v>
      </c>
      <c r="F2974" s="1" t="s">
        <v>49</v>
      </c>
      <c r="G2974" s="1" t="str">
        <f>"00016251209"</f>
        <v>00016251209</v>
      </c>
      <c r="I2974" s="1" t="s">
        <v>6153</v>
      </c>
      <c r="L2974" s="1" t="s">
        <v>44</v>
      </c>
      <c r="M2974" s="1" t="s">
        <v>5456</v>
      </c>
      <c r="AG2974" s="1" t="s">
        <v>124</v>
      </c>
      <c r="AH2974" s="2">
        <v>45070</v>
      </c>
      <c r="AI2974" s="2">
        <v>45072</v>
      </c>
      <c r="AJ2974" s="2">
        <v>45070</v>
      </c>
    </row>
    <row r="2975" spans="1:36">
      <c r="A2975" s="1" t="str">
        <f>"9838620E0E"</f>
        <v>9838620E0E</v>
      </c>
      <c r="B2975" s="1" t="str">
        <f t="shared" si="69"/>
        <v>02406911202</v>
      </c>
      <c r="C2975" s="1" t="s">
        <v>13</v>
      </c>
      <c r="D2975" s="1" t="s">
        <v>37</v>
      </c>
      <c r="E2975" s="1" t="s">
        <v>6154</v>
      </c>
      <c r="F2975" s="1" t="s">
        <v>117</v>
      </c>
      <c r="G2975" s="1" t="str">
        <f>"12268050155"</f>
        <v>12268050155</v>
      </c>
      <c r="I2975" s="1" t="s">
        <v>2596</v>
      </c>
      <c r="L2975" s="1" t="s">
        <v>44</v>
      </c>
      <c r="M2975" s="1" t="s">
        <v>6155</v>
      </c>
      <c r="AG2975" s="1" t="s">
        <v>124</v>
      </c>
      <c r="AH2975" s="2">
        <v>45070</v>
      </c>
      <c r="AI2975" s="2">
        <v>45291</v>
      </c>
      <c r="AJ2975" s="2">
        <v>45070</v>
      </c>
    </row>
    <row r="2976" spans="1:36">
      <c r="A2976" s="1" t="str">
        <f>"9641820990"</f>
        <v>9641820990</v>
      </c>
      <c r="B2976" s="1" t="str">
        <f t="shared" si="69"/>
        <v>02406911202</v>
      </c>
      <c r="C2976" s="1" t="s">
        <v>13</v>
      </c>
      <c r="D2976" s="1" t="s">
        <v>1312</v>
      </c>
      <c r="E2976" s="1" t="s">
        <v>6156</v>
      </c>
      <c r="F2976" s="1" t="s">
        <v>49</v>
      </c>
      <c r="G2976" s="1" t="str">
        <f>"12546450151"</f>
        <v>12546450151</v>
      </c>
      <c r="I2976" s="1" t="s">
        <v>2674</v>
      </c>
      <c r="L2976" s="1" t="s">
        <v>41</v>
      </c>
      <c r="AJ2976" s="2">
        <v>45017</v>
      </c>
    </row>
    <row r="2977" spans="1:36">
      <c r="A2977" s="1" t="str">
        <f>"9641820990"</f>
        <v>9641820990</v>
      </c>
      <c r="B2977" s="1" t="str">
        <f t="shared" si="69"/>
        <v>02406911202</v>
      </c>
      <c r="C2977" s="1" t="s">
        <v>13</v>
      </c>
      <c r="D2977" s="1" t="s">
        <v>1312</v>
      </c>
      <c r="E2977" s="1" t="s">
        <v>6156</v>
      </c>
      <c r="F2977" s="1" t="s">
        <v>49</v>
      </c>
      <c r="G2977" s="1" t="str">
        <f>"03792180980"</f>
        <v>03792180980</v>
      </c>
      <c r="I2977" s="1" t="s">
        <v>6157</v>
      </c>
      <c r="L2977" s="1" t="s">
        <v>44</v>
      </c>
      <c r="M2977" s="1" t="s">
        <v>6158</v>
      </c>
      <c r="AG2977" s="1" t="s">
        <v>6159</v>
      </c>
      <c r="AH2977" s="2">
        <v>45017</v>
      </c>
      <c r="AI2977" s="2">
        <v>45382</v>
      </c>
      <c r="AJ2977" s="2">
        <v>45017</v>
      </c>
    </row>
    <row r="2978" spans="1:36">
      <c r="A2978" s="1" t="str">
        <f>"ZA63ADD3B1"</f>
        <v>ZA63ADD3B1</v>
      </c>
      <c r="B2978" s="1" t="str">
        <f t="shared" si="69"/>
        <v>02406911202</v>
      </c>
      <c r="C2978" s="1" t="s">
        <v>13</v>
      </c>
      <c r="D2978" s="1" t="s">
        <v>1253</v>
      </c>
      <c r="E2978" s="1" t="s">
        <v>1262</v>
      </c>
      <c r="F2978" s="1" t="s">
        <v>49</v>
      </c>
      <c r="G2978" s="1" t="str">
        <f>"02385200122"</f>
        <v>02385200122</v>
      </c>
      <c r="I2978" s="1" t="s">
        <v>1929</v>
      </c>
      <c r="L2978" s="1" t="s">
        <v>44</v>
      </c>
      <c r="M2978" s="1" t="s">
        <v>1255</v>
      </c>
      <c r="AG2978" s="1" t="s">
        <v>6160</v>
      </c>
      <c r="AH2978" s="2">
        <v>45036</v>
      </c>
      <c r="AI2978" s="2">
        <v>45291</v>
      </c>
      <c r="AJ2978" s="2">
        <v>45036</v>
      </c>
    </row>
    <row r="2979" spans="1:36">
      <c r="A2979" s="1" t="str">
        <f>"Z793AE20C9"</f>
        <v>Z793AE20C9</v>
      </c>
      <c r="B2979" s="1" t="str">
        <f t="shared" si="69"/>
        <v>02406911202</v>
      </c>
      <c r="C2979" s="1" t="s">
        <v>13</v>
      </c>
      <c r="D2979" s="1" t="s">
        <v>1253</v>
      </c>
      <c r="E2979" s="1" t="s">
        <v>1270</v>
      </c>
      <c r="F2979" s="1" t="s">
        <v>49</v>
      </c>
      <c r="G2979" s="1" t="str">
        <f>"09453740152"</f>
        <v>09453740152</v>
      </c>
      <c r="I2979" s="1" t="s">
        <v>6161</v>
      </c>
      <c r="L2979" s="1" t="s">
        <v>44</v>
      </c>
      <c r="M2979" s="1" t="s">
        <v>1255</v>
      </c>
      <c r="AG2979" s="1" t="s">
        <v>6162</v>
      </c>
      <c r="AH2979" s="2">
        <v>45037</v>
      </c>
      <c r="AI2979" s="2">
        <v>45291</v>
      </c>
      <c r="AJ2979" s="2">
        <v>45037</v>
      </c>
    </row>
    <row r="2980" spans="1:36">
      <c r="A2980" s="1" t="str">
        <f>"Z6D3AE3901"</f>
        <v>Z6D3AE3901</v>
      </c>
      <c r="B2980" s="1" t="str">
        <f t="shared" si="69"/>
        <v>02406911202</v>
      </c>
      <c r="C2980" s="1" t="s">
        <v>13</v>
      </c>
      <c r="D2980" s="1" t="s">
        <v>1253</v>
      </c>
      <c r="E2980" s="1" t="s">
        <v>1262</v>
      </c>
      <c r="F2980" s="1" t="s">
        <v>49</v>
      </c>
      <c r="G2980" s="1" t="str">
        <f>"11654150157"</f>
        <v>11654150157</v>
      </c>
      <c r="I2980" s="1" t="s">
        <v>1468</v>
      </c>
      <c r="L2980" s="1" t="s">
        <v>44</v>
      </c>
      <c r="M2980" s="1" t="s">
        <v>1255</v>
      </c>
      <c r="AG2980" s="1" t="s">
        <v>6163</v>
      </c>
      <c r="AH2980" s="2">
        <v>45037</v>
      </c>
      <c r="AI2980" s="2">
        <v>45291</v>
      </c>
      <c r="AJ2980" s="2">
        <v>45037</v>
      </c>
    </row>
    <row r="2981" spans="1:36">
      <c r="A2981" s="1" t="str">
        <f>"Z173AE51DE"</f>
        <v>Z173AE51DE</v>
      </c>
      <c r="B2981" s="1" t="str">
        <f t="shared" si="69"/>
        <v>02406911202</v>
      </c>
      <c r="C2981" s="1" t="s">
        <v>13</v>
      </c>
      <c r="D2981" s="1" t="s">
        <v>1253</v>
      </c>
      <c r="E2981" s="1" t="s">
        <v>1270</v>
      </c>
      <c r="F2981" s="1" t="s">
        <v>49</v>
      </c>
      <c r="G2981" s="1" t="str">
        <f>"04804230151"</f>
        <v>04804230151</v>
      </c>
      <c r="I2981" s="1" t="s">
        <v>6164</v>
      </c>
      <c r="L2981" s="1" t="s">
        <v>44</v>
      </c>
      <c r="M2981" s="1" t="s">
        <v>1255</v>
      </c>
      <c r="AG2981" s="1" t="s">
        <v>6165</v>
      </c>
      <c r="AH2981" s="2">
        <v>45037</v>
      </c>
      <c r="AI2981" s="2">
        <v>45291</v>
      </c>
      <c r="AJ2981" s="2">
        <v>45037</v>
      </c>
    </row>
    <row r="2982" spans="1:36">
      <c r="A2982" s="1" t="str">
        <f>"9728668ECB"</f>
        <v>9728668ECB</v>
      </c>
      <c r="B2982" s="1" t="str">
        <f t="shared" si="69"/>
        <v>02406911202</v>
      </c>
      <c r="C2982" s="1" t="s">
        <v>13</v>
      </c>
      <c r="D2982" s="1" t="s">
        <v>37</v>
      </c>
      <c r="E2982" s="1" t="s">
        <v>6166</v>
      </c>
      <c r="F2982" s="1" t="s">
        <v>117</v>
      </c>
      <c r="G2982" s="1" t="str">
        <f>"00929440592"</f>
        <v>00929440592</v>
      </c>
      <c r="I2982" s="1" t="s">
        <v>1290</v>
      </c>
      <c r="L2982" s="1" t="s">
        <v>44</v>
      </c>
      <c r="M2982" s="1" t="s">
        <v>6167</v>
      </c>
      <c r="AG2982" s="1" t="s">
        <v>6167</v>
      </c>
      <c r="AH2982" s="2">
        <v>45048</v>
      </c>
      <c r="AI2982" s="2">
        <v>45291</v>
      </c>
      <c r="AJ2982" s="2">
        <v>45048</v>
      </c>
    </row>
    <row r="2983" spans="1:36">
      <c r="A2983" s="1" t="str">
        <f>"Z533B1BFDF"</f>
        <v>Z533B1BFDF</v>
      </c>
      <c r="B2983" s="1" t="str">
        <f t="shared" si="69"/>
        <v>02406911202</v>
      </c>
      <c r="C2983" s="1" t="s">
        <v>13</v>
      </c>
      <c r="D2983" s="1" t="s">
        <v>205</v>
      </c>
      <c r="E2983" s="1" t="s">
        <v>6168</v>
      </c>
      <c r="F2983" s="1" t="s">
        <v>117</v>
      </c>
      <c r="G2983" s="1" t="str">
        <f>"03557730375"</f>
        <v>03557730375</v>
      </c>
      <c r="I2983" s="1" t="s">
        <v>3453</v>
      </c>
      <c r="L2983" s="1" t="s">
        <v>44</v>
      </c>
      <c r="M2983" s="1" t="s">
        <v>6169</v>
      </c>
      <c r="AG2983" s="1" t="s">
        <v>6170</v>
      </c>
      <c r="AH2983" s="2">
        <v>45017</v>
      </c>
      <c r="AI2983" s="2">
        <v>45291</v>
      </c>
      <c r="AJ2983" s="2">
        <v>45017</v>
      </c>
    </row>
    <row r="2984" spans="1:36">
      <c r="A2984" s="1" t="str">
        <f>"Z403B2F967"</f>
        <v>Z403B2F967</v>
      </c>
      <c r="B2984" s="1" t="str">
        <f t="shared" si="69"/>
        <v>02406911202</v>
      </c>
      <c r="C2984" s="1" t="s">
        <v>13</v>
      </c>
      <c r="D2984" s="1" t="s">
        <v>205</v>
      </c>
      <c r="E2984" s="1" t="s">
        <v>6171</v>
      </c>
      <c r="F2984" s="1" t="s">
        <v>49</v>
      </c>
      <c r="G2984" s="1" t="str">
        <f>"03347111209"</f>
        <v>03347111209</v>
      </c>
      <c r="I2984" s="1" t="s">
        <v>6172</v>
      </c>
      <c r="L2984" s="1" t="s">
        <v>44</v>
      </c>
      <c r="M2984" s="1" t="s">
        <v>6173</v>
      </c>
      <c r="AG2984" s="1" t="s">
        <v>6174</v>
      </c>
      <c r="AH2984" s="2">
        <v>44927</v>
      </c>
      <c r="AI2984" s="2">
        <v>45291</v>
      </c>
      <c r="AJ2984" s="2">
        <v>44927</v>
      </c>
    </row>
    <row r="2985" spans="1:36">
      <c r="A2985" s="1" t="str">
        <f>"Z693B2F9AB"</f>
        <v>Z693B2F9AB</v>
      </c>
      <c r="B2985" s="1" t="str">
        <f t="shared" si="69"/>
        <v>02406911202</v>
      </c>
      <c r="C2985" s="1" t="s">
        <v>13</v>
      </c>
      <c r="D2985" s="1" t="s">
        <v>205</v>
      </c>
      <c r="E2985" s="1" t="s">
        <v>6175</v>
      </c>
      <c r="F2985" s="1" t="s">
        <v>49</v>
      </c>
      <c r="G2985" s="1" t="str">
        <f>"01746341203"</f>
        <v>01746341203</v>
      </c>
      <c r="I2985" s="1" t="s">
        <v>6176</v>
      </c>
      <c r="L2985" s="1" t="s">
        <v>44</v>
      </c>
      <c r="M2985" s="1" t="s">
        <v>6177</v>
      </c>
      <c r="AG2985" s="1" t="s">
        <v>6178</v>
      </c>
      <c r="AH2985" s="2">
        <v>44927</v>
      </c>
      <c r="AI2985" s="2">
        <v>45291</v>
      </c>
      <c r="AJ2985" s="2">
        <v>44927</v>
      </c>
    </row>
    <row r="2986" spans="1:36">
      <c r="A2986" s="1" t="str">
        <f>"98200712F3"</f>
        <v>98200712F3</v>
      </c>
      <c r="B2986" s="1" t="str">
        <f t="shared" si="69"/>
        <v>02406911202</v>
      </c>
      <c r="C2986" s="1" t="s">
        <v>13</v>
      </c>
      <c r="D2986" s="1" t="s">
        <v>37</v>
      </c>
      <c r="E2986" s="1" t="s">
        <v>6179</v>
      </c>
      <c r="F2986" s="1" t="s">
        <v>99</v>
      </c>
      <c r="G2986" s="1" t="str">
        <f>"00136740404"</f>
        <v>00136740404</v>
      </c>
      <c r="I2986" s="1" t="s">
        <v>439</v>
      </c>
      <c r="L2986" s="1" t="s">
        <v>44</v>
      </c>
      <c r="M2986" s="1" t="s">
        <v>479</v>
      </c>
      <c r="AG2986" s="1" t="s">
        <v>6180</v>
      </c>
      <c r="AH2986" s="2">
        <v>45070</v>
      </c>
      <c r="AI2986" s="2">
        <v>45222</v>
      </c>
      <c r="AJ2986" s="2">
        <v>45070</v>
      </c>
    </row>
    <row r="2987" spans="1:36">
      <c r="A2987" s="1" t="str">
        <f>"980289440A"</f>
        <v>980289440A</v>
      </c>
      <c r="B2987" s="1" t="str">
        <f t="shared" si="69"/>
        <v>02406911202</v>
      </c>
      <c r="C2987" s="1" t="s">
        <v>13</v>
      </c>
      <c r="D2987" s="1" t="s">
        <v>1312</v>
      </c>
      <c r="E2987" s="1" t="s">
        <v>6181</v>
      </c>
      <c r="F2987" s="1" t="s">
        <v>49</v>
      </c>
      <c r="G2987" s="1" t="str">
        <f>"08566910017"</f>
        <v>08566910017</v>
      </c>
      <c r="I2987" s="1" t="s">
        <v>6182</v>
      </c>
      <c r="L2987" s="1" t="s">
        <v>44</v>
      </c>
      <c r="M2987" s="1" t="s">
        <v>2073</v>
      </c>
      <c r="AG2987" s="1" t="s">
        <v>4278</v>
      </c>
      <c r="AH2987" s="2">
        <v>45057</v>
      </c>
      <c r="AI2987" s="2">
        <v>45626</v>
      </c>
      <c r="AJ2987" s="2">
        <v>45057</v>
      </c>
    </row>
    <row r="2988" spans="1:36">
      <c r="A2988" s="1" t="str">
        <f>"ZD73B32701"</f>
        <v>ZD73B32701</v>
      </c>
      <c r="B2988" s="1" t="str">
        <f t="shared" si="69"/>
        <v>02406911202</v>
      </c>
      <c r="C2988" s="1" t="s">
        <v>13</v>
      </c>
      <c r="D2988" s="1" t="s">
        <v>205</v>
      </c>
      <c r="E2988" s="1" t="s">
        <v>6183</v>
      </c>
      <c r="F2988" s="1" t="s">
        <v>49</v>
      </c>
      <c r="G2988" s="1" t="str">
        <f>"03158271209"</f>
        <v>03158271209</v>
      </c>
      <c r="I2988" s="1" t="s">
        <v>6184</v>
      </c>
      <c r="L2988" s="1" t="s">
        <v>44</v>
      </c>
      <c r="M2988" s="1" t="s">
        <v>6185</v>
      </c>
      <c r="AG2988" s="1" t="s">
        <v>6186</v>
      </c>
      <c r="AH2988" s="2">
        <v>44927</v>
      </c>
      <c r="AI2988" s="2">
        <v>45291</v>
      </c>
      <c r="AJ2988" s="2">
        <v>44927</v>
      </c>
    </row>
    <row r="2989" spans="1:36">
      <c r="A2989" s="1" t="str">
        <f>"ZF63B32784"</f>
        <v>ZF63B32784</v>
      </c>
      <c r="B2989" s="1" t="str">
        <f t="shared" si="69"/>
        <v>02406911202</v>
      </c>
      <c r="C2989" s="1" t="s">
        <v>13</v>
      </c>
      <c r="D2989" s="1" t="s">
        <v>205</v>
      </c>
      <c r="E2989" s="1" t="s">
        <v>6187</v>
      </c>
      <c r="F2989" s="1" t="s">
        <v>49</v>
      </c>
      <c r="G2989" s="1" t="str">
        <f>"03161301209"</f>
        <v>03161301209</v>
      </c>
      <c r="I2989" s="1" t="s">
        <v>6188</v>
      </c>
      <c r="L2989" s="1" t="s">
        <v>44</v>
      </c>
      <c r="M2989" s="1" t="s">
        <v>6189</v>
      </c>
      <c r="AG2989" s="1" t="s">
        <v>6190</v>
      </c>
      <c r="AH2989" s="2">
        <v>44927</v>
      </c>
      <c r="AI2989" s="2">
        <v>45291</v>
      </c>
      <c r="AJ2989" s="2">
        <v>44927</v>
      </c>
    </row>
    <row r="2990" spans="1:36">
      <c r="A2990" s="1" t="str">
        <f>"Z893AABF6C"</f>
        <v>Z893AABF6C</v>
      </c>
      <c r="B2990" s="1" t="str">
        <f t="shared" si="69"/>
        <v>02406911202</v>
      </c>
      <c r="C2990" s="1" t="s">
        <v>13</v>
      </c>
      <c r="D2990" s="1" t="s">
        <v>1257</v>
      </c>
      <c r="E2990" s="1" t="s">
        <v>6191</v>
      </c>
      <c r="F2990" s="1" t="s">
        <v>49</v>
      </c>
      <c r="G2990" s="1" t="str">
        <f>"06317870969"</f>
        <v>06317870969</v>
      </c>
      <c r="I2990" s="1" t="s">
        <v>6192</v>
      </c>
      <c r="L2990" s="1" t="s">
        <v>44</v>
      </c>
      <c r="M2990" s="1" t="s">
        <v>6193</v>
      </c>
      <c r="AG2990" s="1" t="s">
        <v>124</v>
      </c>
      <c r="AH2990" s="2">
        <v>45055</v>
      </c>
      <c r="AI2990" s="2">
        <v>45291</v>
      </c>
      <c r="AJ2990" s="2">
        <v>45055</v>
      </c>
    </row>
    <row r="2991" spans="1:36">
      <c r="A2991" s="1" t="str">
        <f>"ZE53B684B0"</f>
        <v>ZE53B684B0</v>
      </c>
      <c r="B2991" s="1" t="str">
        <f t="shared" si="69"/>
        <v>02406911202</v>
      </c>
      <c r="C2991" s="1" t="s">
        <v>13</v>
      </c>
      <c r="D2991" s="1" t="s">
        <v>1253</v>
      </c>
      <c r="E2991" s="1" t="s">
        <v>1317</v>
      </c>
      <c r="F2991" s="1" t="s">
        <v>49</v>
      </c>
      <c r="G2991" s="1" t="str">
        <f>"02506400395"</f>
        <v>02506400395</v>
      </c>
      <c r="I2991" s="1" t="s">
        <v>6194</v>
      </c>
      <c r="L2991" s="1" t="s">
        <v>44</v>
      </c>
      <c r="M2991" s="1" t="s">
        <v>1255</v>
      </c>
      <c r="AG2991" s="1" t="s">
        <v>6195</v>
      </c>
      <c r="AH2991" s="2">
        <v>45078</v>
      </c>
      <c r="AI2991" s="2">
        <v>45657</v>
      </c>
      <c r="AJ2991" s="2">
        <v>45078</v>
      </c>
    </row>
    <row r="2992" spans="1:36">
      <c r="A2992" s="1" t="str">
        <f>"Z373A94082"</f>
        <v>Z373A94082</v>
      </c>
      <c r="B2992" s="1" t="str">
        <f t="shared" si="69"/>
        <v>02406911202</v>
      </c>
      <c r="C2992" s="1" t="s">
        <v>13</v>
      </c>
      <c r="D2992" s="1" t="s">
        <v>1257</v>
      </c>
      <c r="E2992" s="1" t="s">
        <v>6196</v>
      </c>
      <c r="F2992" s="1" t="s">
        <v>49</v>
      </c>
      <c r="G2992" s="1" t="str">
        <f>"06653670486"</f>
        <v>06653670486</v>
      </c>
      <c r="I2992" s="1" t="s">
        <v>6197</v>
      </c>
      <c r="L2992" s="1" t="s">
        <v>44</v>
      </c>
      <c r="M2992" s="1" t="s">
        <v>509</v>
      </c>
      <c r="AG2992" s="1" t="s">
        <v>6198</v>
      </c>
      <c r="AH2992" s="2">
        <v>45014</v>
      </c>
      <c r="AI2992" s="2">
        <v>45291</v>
      </c>
      <c r="AJ2992" s="2">
        <v>45014</v>
      </c>
    </row>
    <row r="2993" spans="1:36">
      <c r="A2993" s="1" t="str">
        <f>"Z6E3AABB16"</f>
        <v>Z6E3AABB16</v>
      </c>
      <c r="B2993" s="1" t="str">
        <f t="shared" si="69"/>
        <v>02406911202</v>
      </c>
      <c r="C2993" s="1" t="s">
        <v>13</v>
      </c>
      <c r="D2993" s="1" t="s">
        <v>205</v>
      </c>
      <c r="E2993" s="1" t="s">
        <v>6199</v>
      </c>
      <c r="F2993" s="1" t="s">
        <v>49</v>
      </c>
      <c r="G2993" s="1" t="str">
        <f>"03952681207"</f>
        <v>03952681207</v>
      </c>
      <c r="I2993" s="1" t="s">
        <v>6200</v>
      </c>
      <c r="L2993" s="1" t="s">
        <v>44</v>
      </c>
      <c r="M2993" s="1" t="s">
        <v>946</v>
      </c>
      <c r="AG2993" s="1" t="s">
        <v>946</v>
      </c>
      <c r="AH2993" s="2">
        <v>44927</v>
      </c>
      <c r="AI2993" s="2">
        <v>45291</v>
      </c>
      <c r="AJ2993" s="2">
        <v>44927</v>
      </c>
    </row>
    <row r="2994" spans="1:36">
      <c r="A2994" s="1" t="str">
        <f>"9678023D38"</f>
        <v>9678023D38</v>
      </c>
      <c r="B2994" s="1" t="str">
        <f t="shared" si="69"/>
        <v>02406911202</v>
      </c>
      <c r="C2994" s="1" t="s">
        <v>13</v>
      </c>
      <c r="D2994" s="1" t="s">
        <v>37</v>
      </c>
      <c r="E2994" s="1" t="s">
        <v>6201</v>
      </c>
      <c r="F2994" s="1" t="s">
        <v>117</v>
      </c>
      <c r="G2994" s="1" t="str">
        <f>"00488410010"</f>
        <v>00488410010</v>
      </c>
      <c r="I2994" s="1" t="s">
        <v>1200</v>
      </c>
      <c r="L2994" s="1" t="s">
        <v>44</v>
      </c>
      <c r="M2994" s="1" t="s">
        <v>369</v>
      </c>
      <c r="AG2994" s="1" t="s">
        <v>369</v>
      </c>
      <c r="AH2994" s="2">
        <v>44986</v>
      </c>
      <c r="AI2994" s="2">
        <v>46220</v>
      </c>
      <c r="AJ2994" s="2">
        <v>44986</v>
      </c>
    </row>
    <row r="2995" spans="1:36">
      <c r="A2995" s="1" t="str">
        <f>"ZD93ADF025"</f>
        <v>ZD93ADF025</v>
      </c>
      <c r="B2995" s="1" t="str">
        <f t="shared" si="69"/>
        <v>02406911202</v>
      </c>
      <c r="C2995" s="1" t="s">
        <v>13</v>
      </c>
      <c r="D2995" s="1" t="s">
        <v>1257</v>
      </c>
      <c r="E2995" s="1" t="s">
        <v>6202</v>
      </c>
      <c r="F2995" s="1" t="s">
        <v>49</v>
      </c>
      <c r="G2995" s="1" t="str">
        <f>"03717020964"</f>
        <v>03717020964</v>
      </c>
      <c r="I2995" s="1" t="s">
        <v>879</v>
      </c>
      <c r="L2995" s="1" t="s">
        <v>44</v>
      </c>
      <c r="M2995" s="1" t="s">
        <v>933</v>
      </c>
      <c r="AG2995" s="1" t="s">
        <v>6203</v>
      </c>
      <c r="AH2995" s="2">
        <v>45036</v>
      </c>
      <c r="AI2995" s="2">
        <v>45291</v>
      </c>
      <c r="AJ2995" s="2">
        <v>45036</v>
      </c>
    </row>
    <row r="2996" spans="1:36">
      <c r="A2996" s="1" t="str">
        <f>"Z123AC86A4"</f>
        <v>Z123AC86A4</v>
      </c>
      <c r="B2996" s="1" t="str">
        <f t="shared" si="69"/>
        <v>02406911202</v>
      </c>
      <c r="C2996" s="1" t="s">
        <v>13</v>
      </c>
      <c r="D2996" s="1" t="s">
        <v>37</v>
      </c>
      <c r="E2996" s="1" t="s">
        <v>6204</v>
      </c>
      <c r="F2996" s="1" t="s">
        <v>39</v>
      </c>
      <c r="G2996" s="1" t="str">
        <f>"01681100150"</f>
        <v>01681100150</v>
      </c>
      <c r="I2996" s="1" t="s">
        <v>92</v>
      </c>
      <c r="L2996" s="1" t="s">
        <v>44</v>
      </c>
      <c r="M2996" s="1" t="s">
        <v>6205</v>
      </c>
      <c r="AG2996" s="1" t="s">
        <v>124</v>
      </c>
      <c r="AH2996" s="2">
        <v>45035</v>
      </c>
      <c r="AI2996" s="2">
        <v>45487</v>
      </c>
      <c r="AJ2996" s="2">
        <v>45035</v>
      </c>
    </row>
    <row r="2997" spans="1:36">
      <c r="A2997" s="1" t="str">
        <f>"ZBE3AE8C9B"</f>
        <v>ZBE3AE8C9B</v>
      </c>
      <c r="B2997" s="1" t="str">
        <f t="shared" si="69"/>
        <v>02406911202</v>
      </c>
      <c r="C2997" s="1" t="s">
        <v>13</v>
      </c>
      <c r="D2997" s="1" t="s">
        <v>1312</v>
      </c>
      <c r="E2997" s="1" t="s">
        <v>6206</v>
      </c>
      <c r="F2997" s="1" t="s">
        <v>49</v>
      </c>
      <c r="G2997" s="1" t="str">
        <f>"05663051000"</f>
        <v>05663051000</v>
      </c>
      <c r="I2997" s="1" t="s">
        <v>6207</v>
      </c>
      <c r="L2997" s="1" t="s">
        <v>44</v>
      </c>
      <c r="M2997" s="1" t="s">
        <v>1314</v>
      </c>
      <c r="AG2997" s="1" t="s">
        <v>6208</v>
      </c>
      <c r="AH2997" s="2">
        <v>45042</v>
      </c>
      <c r="AI2997" s="2">
        <v>46022</v>
      </c>
      <c r="AJ2997" s="2">
        <v>45042</v>
      </c>
    </row>
    <row r="2998" spans="1:36">
      <c r="A2998" s="1" t="str">
        <f>"9785613F4B"</f>
        <v>9785613F4B</v>
      </c>
      <c r="B2998" s="1" t="str">
        <f t="shared" si="69"/>
        <v>02406911202</v>
      </c>
      <c r="C2998" s="1" t="s">
        <v>13</v>
      </c>
      <c r="D2998" s="1" t="s">
        <v>37</v>
      </c>
      <c r="E2998" s="1" t="s">
        <v>6209</v>
      </c>
      <c r="F2998" s="1" t="s">
        <v>39</v>
      </c>
      <c r="G2998" s="1" t="str">
        <f>"00660040528"</f>
        <v>00660040528</v>
      </c>
      <c r="I2998" s="1" t="s">
        <v>1558</v>
      </c>
      <c r="L2998" s="1" t="s">
        <v>44</v>
      </c>
      <c r="M2998" s="1" t="s">
        <v>6210</v>
      </c>
      <c r="AG2998" s="1" t="s">
        <v>124</v>
      </c>
      <c r="AH2998" s="2">
        <v>45042</v>
      </c>
      <c r="AI2998" s="2">
        <v>45772</v>
      </c>
      <c r="AJ2998" s="2">
        <v>45042</v>
      </c>
    </row>
    <row r="2999" spans="1:36">
      <c r="A2999" s="1" t="str">
        <f>"ZDB3B1206F"</f>
        <v>ZDB3B1206F</v>
      </c>
      <c r="B2999" s="1" t="str">
        <f t="shared" si="69"/>
        <v>02406911202</v>
      </c>
      <c r="C2999" s="1" t="s">
        <v>13</v>
      </c>
      <c r="D2999" s="1" t="s">
        <v>205</v>
      </c>
      <c r="E2999" s="1" t="s">
        <v>6211</v>
      </c>
      <c r="F2999" s="1" t="s">
        <v>49</v>
      </c>
      <c r="G2999" s="1" t="str">
        <f>"02788521207"</f>
        <v>02788521207</v>
      </c>
      <c r="I2999" s="1" t="s">
        <v>6212</v>
      </c>
      <c r="L2999" s="1" t="s">
        <v>44</v>
      </c>
      <c r="M2999" s="1" t="s">
        <v>6213</v>
      </c>
      <c r="AG2999" s="1" t="s">
        <v>6214</v>
      </c>
      <c r="AH2999" s="2">
        <v>44927</v>
      </c>
      <c r="AI2999" s="2">
        <v>45291</v>
      </c>
      <c r="AJ2999" s="2">
        <v>44927</v>
      </c>
    </row>
    <row r="3000" spans="1:36">
      <c r="A3000" s="1" t="str">
        <f>"Z283B12136"</f>
        <v>Z283B12136</v>
      </c>
      <c r="B3000" s="1" t="str">
        <f t="shared" si="69"/>
        <v>02406911202</v>
      </c>
      <c r="C3000" s="1" t="s">
        <v>13</v>
      </c>
      <c r="D3000" s="1" t="s">
        <v>205</v>
      </c>
      <c r="E3000" s="1" t="s">
        <v>6215</v>
      </c>
      <c r="F3000" s="1" t="s">
        <v>49</v>
      </c>
      <c r="G3000" s="1" t="str">
        <f>"04271980379"</f>
        <v>04271980379</v>
      </c>
      <c r="I3000" s="1" t="s">
        <v>6216</v>
      </c>
      <c r="L3000" s="1" t="s">
        <v>44</v>
      </c>
      <c r="M3000" s="1" t="s">
        <v>6217</v>
      </c>
      <c r="AG3000" s="1" t="s">
        <v>6218</v>
      </c>
      <c r="AH3000" s="2">
        <v>44927</v>
      </c>
      <c r="AI3000" s="2">
        <v>45291</v>
      </c>
      <c r="AJ3000" s="2">
        <v>44927</v>
      </c>
    </row>
    <row r="3001" spans="1:36">
      <c r="A3001" s="1" t="str">
        <f>"Z9B3B121D0"</f>
        <v>Z9B3B121D0</v>
      </c>
      <c r="B3001" s="1" t="str">
        <f t="shared" si="69"/>
        <v>02406911202</v>
      </c>
      <c r="C3001" s="1" t="s">
        <v>13</v>
      </c>
      <c r="D3001" s="1" t="s">
        <v>1312</v>
      </c>
      <c r="E3001" s="1" t="s">
        <v>6219</v>
      </c>
      <c r="F3001" s="1" t="s">
        <v>49</v>
      </c>
      <c r="G3001" s="1" t="str">
        <f>"02221310044"</f>
        <v>02221310044</v>
      </c>
      <c r="I3001" s="1" t="s">
        <v>223</v>
      </c>
      <c r="L3001" s="1" t="s">
        <v>44</v>
      </c>
      <c r="M3001" s="1" t="s">
        <v>1314</v>
      </c>
      <c r="AG3001" s="1" t="s">
        <v>124</v>
      </c>
      <c r="AH3001" s="2">
        <v>45055</v>
      </c>
      <c r="AI3001" s="2">
        <v>45291</v>
      </c>
      <c r="AJ3001" s="2">
        <v>45055</v>
      </c>
    </row>
    <row r="3002" spans="1:36">
      <c r="A3002" s="1" t="str">
        <f>"9801491E3C"</f>
        <v>9801491E3C</v>
      </c>
      <c r="B3002" s="1" t="str">
        <f t="shared" si="69"/>
        <v>02406911202</v>
      </c>
      <c r="C3002" s="1" t="s">
        <v>13</v>
      </c>
      <c r="D3002" s="1" t="s">
        <v>1312</v>
      </c>
      <c r="E3002" s="1" t="s">
        <v>6220</v>
      </c>
      <c r="F3002" s="1" t="s">
        <v>49</v>
      </c>
      <c r="G3002" s="1" t="str">
        <f>"01630000287"</f>
        <v>01630000287</v>
      </c>
      <c r="I3002" s="1" t="s">
        <v>1470</v>
      </c>
      <c r="L3002" s="1" t="s">
        <v>44</v>
      </c>
      <c r="M3002" s="1" t="s">
        <v>6221</v>
      </c>
      <c r="AG3002" s="1" t="s">
        <v>6222</v>
      </c>
      <c r="AH3002" s="2">
        <v>45061</v>
      </c>
      <c r="AI3002" s="2">
        <v>45443</v>
      </c>
      <c r="AJ3002" s="2">
        <v>45061</v>
      </c>
    </row>
    <row r="3003" spans="1:36">
      <c r="A3003" s="1" t="str">
        <f>"Z643B2D40B"</f>
        <v>Z643B2D40B</v>
      </c>
      <c r="B3003" s="1" t="str">
        <f t="shared" si="69"/>
        <v>02406911202</v>
      </c>
      <c r="C3003" s="1" t="s">
        <v>13</v>
      </c>
      <c r="D3003" s="1" t="s">
        <v>205</v>
      </c>
      <c r="E3003" s="1" t="s">
        <v>6223</v>
      </c>
      <c r="F3003" s="1" t="s">
        <v>49</v>
      </c>
      <c r="G3003" s="1" t="str">
        <f>"04227430370"</f>
        <v>04227430370</v>
      </c>
      <c r="I3003" s="1" t="s">
        <v>6224</v>
      </c>
      <c r="L3003" s="1" t="s">
        <v>44</v>
      </c>
      <c r="M3003" s="1" t="s">
        <v>6225</v>
      </c>
      <c r="AG3003" s="1" t="s">
        <v>6226</v>
      </c>
      <c r="AH3003" s="2">
        <v>44927</v>
      </c>
      <c r="AI3003" s="2">
        <v>45291</v>
      </c>
      <c r="AJ3003" s="2">
        <v>44927</v>
      </c>
    </row>
    <row r="3004" spans="1:36">
      <c r="A3004" s="1" t="str">
        <f>"ZAB3B2D48D"</f>
        <v>ZAB3B2D48D</v>
      </c>
      <c r="B3004" s="1" t="str">
        <f t="shared" si="69"/>
        <v>02406911202</v>
      </c>
      <c r="C3004" s="1" t="s">
        <v>13</v>
      </c>
      <c r="D3004" s="1" t="s">
        <v>205</v>
      </c>
      <c r="E3004" s="1" t="s">
        <v>6227</v>
      </c>
      <c r="F3004" s="1" t="s">
        <v>49</v>
      </c>
      <c r="G3004" s="1" t="str">
        <f>"00034741207"</f>
        <v>00034741207</v>
      </c>
      <c r="I3004" s="1" t="s">
        <v>6228</v>
      </c>
      <c r="L3004" s="1" t="s">
        <v>44</v>
      </c>
      <c r="M3004" s="1" t="s">
        <v>6229</v>
      </c>
      <c r="AG3004" s="1" t="s">
        <v>6230</v>
      </c>
      <c r="AH3004" s="2">
        <v>44927</v>
      </c>
      <c r="AI3004" s="2">
        <v>45291</v>
      </c>
      <c r="AJ3004" s="2">
        <v>44927</v>
      </c>
    </row>
    <row r="3005" spans="1:36">
      <c r="A3005" s="1" t="str">
        <f>"Z6B3B2D7E4"</f>
        <v>Z6B3B2D7E4</v>
      </c>
      <c r="B3005" s="1" t="str">
        <f t="shared" si="69"/>
        <v>02406911202</v>
      </c>
      <c r="C3005" s="1" t="s">
        <v>13</v>
      </c>
      <c r="D3005" s="1" t="s">
        <v>205</v>
      </c>
      <c r="E3005" s="1" t="s">
        <v>6231</v>
      </c>
      <c r="F3005" s="1" t="s">
        <v>49</v>
      </c>
      <c r="G3005" s="1" t="str">
        <f>"02185310246"</f>
        <v>02185310246</v>
      </c>
      <c r="I3005" s="1" t="s">
        <v>6232</v>
      </c>
      <c r="L3005" s="1" t="s">
        <v>44</v>
      </c>
      <c r="M3005" s="1" t="s">
        <v>6233</v>
      </c>
      <c r="AG3005" s="1" t="s">
        <v>6234</v>
      </c>
      <c r="AH3005" s="2">
        <v>44927</v>
      </c>
      <c r="AI3005" s="2">
        <v>45291</v>
      </c>
      <c r="AJ3005" s="2">
        <v>44927</v>
      </c>
    </row>
    <row r="3006" spans="1:36">
      <c r="A3006" s="1" t="str">
        <f>"Z303B2D8A8"</f>
        <v>Z303B2D8A8</v>
      </c>
      <c r="B3006" s="1" t="str">
        <f t="shared" si="69"/>
        <v>02406911202</v>
      </c>
      <c r="C3006" s="1" t="s">
        <v>13</v>
      </c>
      <c r="D3006" s="1" t="s">
        <v>205</v>
      </c>
      <c r="E3006" s="1" t="s">
        <v>5821</v>
      </c>
      <c r="F3006" s="1" t="s">
        <v>49</v>
      </c>
      <c r="G3006" s="1" t="str">
        <f>"02449970363"</f>
        <v>02449970363</v>
      </c>
      <c r="I3006" s="1" t="s">
        <v>6235</v>
      </c>
      <c r="L3006" s="1" t="s">
        <v>44</v>
      </c>
      <c r="M3006" s="1" t="s">
        <v>6236</v>
      </c>
      <c r="AG3006" s="1" t="s">
        <v>6237</v>
      </c>
      <c r="AH3006" s="2">
        <v>44927</v>
      </c>
      <c r="AI3006" s="2">
        <v>45291</v>
      </c>
      <c r="AJ3006" s="2">
        <v>44927</v>
      </c>
    </row>
    <row r="3007" spans="1:36">
      <c r="A3007" s="1" t="str">
        <f>"ZBD3B32DB9"</f>
        <v>ZBD3B32DB9</v>
      </c>
      <c r="B3007" s="1" t="str">
        <f t="shared" si="69"/>
        <v>02406911202</v>
      </c>
      <c r="C3007" s="1" t="s">
        <v>13</v>
      </c>
      <c r="D3007" s="1" t="s">
        <v>205</v>
      </c>
      <c r="E3007" s="1" t="s">
        <v>6238</v>
      </c>
      <c r="F3007" s="1" t="s">
        <v>49</v>
      </c>
      <c r="G3007" s="1" t="str">
        <f>"03180161204"</f>
        <v>03180161204</v>
      </c>
      <c r="I3007" s="1" t="s">
        <v>6239</v>
      </c>
      <c r="L3007" s="1" t="s">
        <v>44</v>
      </c>
      <c r="M3007" s="1" t="s">
        <v>6240</v>
      </c>
      <c r="AG3007" s="1" t="s">
        <v>6241</v>
      </c>
      <c r="AH3007" s="2">
        <v>44927</v>
      </c>
      <c r="AI3007" s="2">
        <v>45291</v>
      </c>
      <c r="AJ3007" s="2">
        <v>44927</v>
      </c>
    </row>
    <row r="3008" spans="1:36">
      <c r="A3008" s="1" t="str">
        <f>"ZC53B330DC"</f>
        <v>ZC53B330DC</v>
      </c>
      <c r="B3008" s="1" t="str">
        <f t="shared" si="69"/>
        <v>02406911202</v>
      </c>
      <c r="C3008" s="1" t="s">
        <v>13</v>
      </c>
      <c r="D3008" s="1" t="s">
        <v>205</v>
      </c>
      <c r="E3008" s="1" t="s">
        <v>6242</v>
      </c>
      <c r="F3008" s="1" t="s">
        <v>49</v>
      </c>
      <c r="G3008" s="1" t="str">
        <f>"03580491201"</f>
        <v>03580491201</v>
      </c>
      <c r="I3008" s="1" t="s">
        <v>6243</v>
      </c>
      <c r="L3008" s="1" t="s">
        <v>44</v>
      </c>
      <c r="M3008" s="1" t="s">
        <v>6244</v>
      </c>
      <c r="AG3008" s="1" t="s">
        <v>6245</v>
      </c>
      <c r="AH3008" s="2">
        <v>44927</v>
      </c>
      <c r="AI3008" s="2">
        <v>45291</v>
      </c>
      <c r="AJ3008" s="2">
        <v>44927</v>
      </c>
    </row>
    <row r="3009" spans="1:36">
      <c r="A3009" s="1" t="str">
        <f>"ZC53B33F91"</f>
        <v>ZC53B33F91</v>
      </c>
      <c r="B3009" s="1" t="str">
        <f t="shared" si="69"/>
        <v>02406911202</v>
      </c>
      <c r="C3009" s="1" t="s">
        <v>13</v>
      </c>
      <c r="D3009" s="1" t="s">
        <v>205</v>
      </c>
      <c r="E3009" s="1" t="s">
        <v>6246</v>
      </c>
      <c r="F3009" s="1" t="s">
        <v>49</v>
      </c>
      <c r="G3009" s="1" t="str">
        <f>"01979131206"</f>
        <v>01979131206</v>
      </c>
      <c r="I3009" s="1" t="s">
        <v>6247</v>
      </c>
      <c r="L3009" s="1" t="s">
        <v>44</v>
      </c>
      <c r="M3009" s="1" t="s">
        <v>6248</v>
      </c>
      <c r="AG3009" s="1" t="s">
        <v>124</v>
      </c>
      <c r="AH3009" s="2">
        <v>44927</v>
      </c>
      <c r="AI3009" s="2">
        <v>45291</v>
      </c>
      <c r="AJ3009" s="2">
        <v>44927</v>
      </c>
    </row>
    <row r="3010" spans="1:36">
      <c r="A3010" s="1" t="str">
        <f>"Z6B3B33FD2"</f>
        <v>Z6B3B33FD2</v>
      </c>
      <c r="B3010" s="1" t="str">
        <f t="shared" si="69"/>
        <v>02406911202</v>
      </c>
      <c r="C3010" s="1" t="s">
        <v>13</v>
      </c>
      <c r="D3010" s="1" t="s">
        <v>205</v>
      </c>
      <c r="E3010" s="1" t="s">
        <v>6249</v>
      </c>
      <c r="F3010" s="1" t="s">
        <v>49</v>
      </c>
      <c r="G3010" s="1" t="str">
        <f>"01925971200"</f>
        <v>01925971200</v>
      </c>
      <c r="I3010" s="1" t="s">
        <v>6250</v>
      </c>
      <c r="L3010" s="1" t="s">
        <v>44</v>
      </c>
      <c r="M3010" s="1" t="s">
        <v>6251</v>
      </c>
      <c r="AG3010" s="1" t="s">
        <v>124</v>
      </c>
      <c r="AH3010" s="2">
        <v>44927</v>
      </c>
      <c r="AI3010" s="2">
        <v>45291</v>
      </c>
      <c r="AJ3010" s="2">
        <v>44927</v>
      </c>
    </row>
    <row r="3011" spans="1:36">
      <c r="A3011" s="1" t="str">
        <f>"Z1C3B34019"</f>
        <v>Z1C3B34019</v>
      </c>
      <c r="B3011" s="1" t="str">
        <f t="shared" si="69"/>
        <v>02406911202</v>
      </c>
      <c r="C3011" s="1" t="s">
        <v>13</v>
      </c>
      <c r="D3011" s="1" t="s">
        <v>205</v>
      </c>
      <c r="E3011" s="1" t="s">
        <v>6252</v>
      </c>
      <c r="F3011" s="1" t="s">
        <v>49</v>
      </c>
      <c r="G3011" s="1" t="str">
        <f>"02500071200"</f>
        <v>02500071200</v>
      </c>
      <c r="I3011" s="1" t="s">
        <v>6253</v>
      </c>
      <c r="L3011" s="1" t="s">
        <v>44</v>
      </c>
      <c r="M3011" s="1" t="s">
        <v>6254</v>
      </c>
      <c r="AG3011" s="1" t="s">
        <v>124</v>
      </c>
      <c r="AH3011" s="2">
        <v>44927</v>
      </c>
      <c r="AI3011" s="2">
        <v>45291</v>
      </c>
      <c r="AJ3011" s="2">
        <v>44927</v>
      </c>
    </row>
    <row r="3012" spans="1:36">
      <c r="A3012" s="1" t="str">
        <f>"ZF33B3B2EA"</f>
        <v>ZF33B3B2EA</v>
      </c>
      <c r="B3012" s="1" t="str">
        <f t="shared" si="69"/>
        <v>02406911202</v>
      </c>
      <c r="C3012" s="1" t="s">
        <v>13</v>
      </c>
      <c r="D3012" s="1" t="s">
        <v>1253</v>
      </c>
      <c r="E3012" s="1" t="s">
        <v>1254</v>
      </c>
      <c r="F3012" s="1" t="s">
        <v>49</v>
      </c>
      <c r="G3012" s="1" t="str">
        <f>"07093190960"</f>
        <v>07093190960</v>
      </c>
      <c r="I3012" s="1" t="s">
        <v>2450</v>
      </c>
      <c r="L3012" s="1" t="s">
        <v>44</v>
      </c>
      <c r="M3012" s="1" t="s">
        <v>1255</v>
      </c>
      <c r="AG3012" s="1" t="s">
        <v>2451</v>
      </c>
      <c r="AH3012" s="2">
        <v>45065</v>
      </c>
      <c r="AI3012" s="2">
        <v>45291</v>
      </c>
      <c r="AJ3012" s="2">
        <v>45065</v>
      </c>
    </row>
    <row r="3013" spans="1:36">
      <c r="A3013" s="1" t="str">
        <f>"96076714EC"</f>
        <v>96076714EC</v>
      </c>
      <c r="B3013" s="1" t="str">
        <f t="shared" si="69"/>
        <v>02406911202</v>
      </c>
      <c r="C3013" s="1" t="s">
        <v>13</v>
      </c>
      <c r="D3013" s="1" t="s">
        <v>37</v>
      </c>
      <c r="E3013" s="1" t="s">
        <v>6255</v>
      </c>
      <c r="F3013" s="1" t="s">
        <v>431</v>
      </c>
      <c r="G3013" s="1" t="str">
        <f>"02723670960"</f>
        <v>02723670960</v>
      </c>
      <c r="I3013" s="1" t="s">
        <v>3051</v>
      </c>
      <c r="L3013" s="1" t="s">
        <v>44</v>
      </c>
      <c r="M3013" s="1" t="s">
        <v>6256</v>
      </c>
      <c r="AG3013" s="1" t="s">
        <v>124</v>
      </c>
      <c r="AH3013" s="2">
        <v>45062</v>
      </c>
      <c r="AI3013" s="2">
        <v>45291</v>
      </c>
      <c r="AJ3013" s="2">
        <v>45062</v>
      </c>
    </row>
    <row r="3014" spans="1:36">
      <c r="A3014" s="1" t="str">
        <f>"Z533B52396"</f>
        <v>Z533B52396</v>
      </c>
      <c r="B3014" s="1" t="str">
        <f t="shared" ref="B3014:B3077" si="70">"02406911202"</f>
        <v>02406911202</v>
      </c>
      <c r="C3014" s="1" t="s">
        <v>13</v>
      </c>
      <c r="D3014" s="1" t="s">
        <v>205</v>
      </c>
      <c r="E3014" s="1" t="s">
        <v>6257</v>
      </c>
      <c r="F3014" s="1" t="s">
        <v>49</v>
      </c>
      <c r="G3014" s="1" t="str">
        <f>"02889760969"</f>
        <v>02889760969</v>
      </c>
      <c r="I3014" s="1" t="s">
        <v>6258</v>
      </c>
      <c r="L3014" s="1" t="s">
        <v>44</v>
      </c>
      <c r="M3014" s="1" t="s">
        <v>2391</v>
      </c>
      <c r="AG3014" s="1" t="s">
        <v>2391</v>
      </c>
      <c r="AH3014" s="2">
        <v>44927</v>
      </c>
      <c r="AI3014" s="2">
        <v>45291</v>
      </c>
      <c r="AJ3014" s="2">
        <v>44927</v>
      </c>
    </row>
    <row r="3015" spans="1:36">
      <c r="A3015" s="1" t="str">
        <f>"Z963AE9379"</f>
        <v>Z963AE9379</v>
      </c>
      <c r="B3015" s="1" t="str">
        <f t="shared" si="70"/>
        <v>02406911202</v>
      </c>
      <c r="C3015" s="1" t="s">
        <v>13</v>
      </c>
      <c r="D3015" s="1" t="s">
        <v>1741</v>
      </c>
      <c r="E3015" s="1" t="s">
        <v>6259</v>
      </c>
      <c r="F3015" s="1" t="s">
        <v>39</v>
      </c>
      <c r="G3015" s="1" t="str">
        <f>"05143370962"</f>
        <v>05143370962</v>
      </c>
      <c r="I3015" s="1" t="s">
        <v>6260</v>
      </c>
      <c r="L3015" s="1" t="s">
        <v>44</v>
      </c>
      <c r="M3015" s="1" t="s">
        <v>6261</v>
      </c>
      <c r="AG3015" s="1" t="s">
        <v>6261</v>
      </c>
      <c r="AH3015" s="2">
        <v>45042</v>
      </c>
      <c r="AI3015" s="2">
        <v>45291</v>
      </c>
      <c r="AJ3015" s="2">
        <v>45042</v>
      </c>
    </row>
    <row r="3016" spans="1:36">
      <c r="A3016" s="1" t="str">
        <f>"Z1E3AE50D0"</f>
        <v>Z1E3AE50D0</v>
      </c>
      <c r="B3016" s="1" t="str">
        <f t="shared" si="70"/>
        <v>02406911202</v>
      </c>
      <c r="C3016" s="1" t="s">
        <v>13</v>
      </c>
      <c r="D3016" s="1" t="s">
        <v>1741</v>
      </c>
      <c r="E3016" s="1" t="s">
        <v>6262</v>
      </c>
      <c r="F3016" s="1" t="s">
        <v>39</v>
      </c>
      <c r="G3016" s="1" t="str">
        <f>"01847860309"</f>
        <v>01847860309</v>
      </c>
      <c r="I3016" s="1" t="s">
        <v>6263</v>
      </c>
      <c r="L3016" s="1" t="s">
        <v>44</v>
      </c>
      <c r="M3016" s="1" t="s">
        <v>6264</v>
      </c>
      <c r="AG3016" s="1" t="s">
        <v>124</v>
      </c>
      <c r="AH3016" s="2">
        <v>45037</v>
      </c>
      <c r="AI3016" s="2">
        <v>45291</v>
      </c>
      <c r="AJ3016" s="2">
        <v>45037</v>
      </c>
    </row>
    <row r="3017" spans="1:36">
      <c r="A3017" s="1" t="str">
        <f>"Z0A3B04849"</f>
        <v>Z0A3B04849</v>
      </c>
      <c r="B3017" s="1" t="str">
        <f t="shared" si="70"/>
        <v>02406911202</v>
      </c>
      <c r="C3017" s="1" t="s">
        <v>13</v>
      </c>
      <c r="D3017" s="1" t="s">
        <v>1741</v>
      </c>
      <c r="E3017" s="1" t="s">
        <v>6265</v>
      </c>
      <c r="F3017" s="1" t="s">
        <v>39</v>
      </c>
      <c r="G3017" s="1" t="str">
        <f>"02047381203"</f>
        <v>02047381203</v>
      </c>
      <c r="I3017" s="1" t="s">
        <v>5719</v>
      </c>
      <c r="L3017" s="1" t="s">
        <v>44</v>
      </c>
      <c r="M3017" s="1" t="s">
        <v>6266</v>
      </c>
      <c r="AG3017" s="1" t="s">
        <v>6267</v>
      </c>
      <c r="AH3017" s="2">
        <v>45050</v>
      </c>
      <c r="AI3017" s="2">
        <v>45291</v>
      </c>
      <c r="AJ3017" s="2">
        <v>45050</v>
      </c>
    </row>
    <row r="3018" spans="1:36">
      <c r="A3018" s="1" t="str">
        <f>"ZA63B55373"</f>
        <v>ZA63B55373</v>
      </c>
      <c r="B3018" s="1" t="str">
        <f t="shared" si="70"/>
        <v>02406911202</v>
      </c>
      <c r="C3018" s="1" t="s">
        <v>13</v>
      </c>
      <c r="D3018" s="1" t="s">
        <v>1312</v>
      </c>
      <c r="E3018" s="1" t="s">
        <v>2503</v>
      </c>
      <c r="F3018" s="1" t="s">
        <v>49</v>
      </c>
      <c r="G3018" s="1" t="str">
        <f>"00926020066"</f>
        <v>00926020066</v>
      </c>
      <c r="I3018" s="1" t="s">
        <v>2504</v>
      </c>
      <c r="L3018" s="1" t="s">
        <v>44</v>
      </c>
      <c r="M3018" s="1" t="s">
        <v>1314</v>
      </c>
      <c r="AG3018" s="1" t="s">
        <v>6268</v>
      </c>
      <c r="AH3018" s="2">
        <v>45072</v>
      </c>
      <c r="AI3018" s="2">
        <v>46022</v>
      </c>
      <c r="AJ3018" s="2">
        <v>45072</v>
      </c>
    </row>
    <row r="3019" spans="1:36">
      <c r="A3019" s="1" t="str">
        <f>"Z393B5595E"</f>
        <v>Z393B5595E</v>
      </c>
      <c r="B3019" s="1" t="str">
        <f t="shared" si="70"/>
        <v>02406911202</v>
      </c>
      <c r="C3019" s="1" t="s">
        <v>13</v>
      </c>
      <c r="D3019" s="1" t="s">
        <v>1312</v>
      </c>
      <c r="E3019" s="1" t="s">
        <v>6269</v>
      </c>
      <c r="F3019" s="1" t="s">
        <v>49</v>
      </c>
      <c r="G3019" s="1" t="str">
        <f>"01835220482"</f>
        <v>01835220482</v>
      </c>
      <c r="I3019" s="1" t="s">
        <v>412</v>
      </c>
      <c r="L3019" s="1" t="s">
        <v>44</v>
      </c>
      <c r="M3019" s="1" t="s">
        <v>1314</v>
      </c>
      <c r="AG3019" s="1" t="s">
        <v>6270</v>
      </c>
      <c r="AH3019" s="2">
        <v>45072</v>
      </c>
      <c r="AI3019" s="2">
        <v>45808</v>
      </c>
      <c r="AJ3019" s="2">
        <v>45072</v>
      </c>
    </row>
    <row r="3020" spans="1:36">
      <c r="A3020" s="1" t="str">
        <f>"Z553AB8049"</f>
        <v>Z553AB8049</v>
      </c>
      <c r="B3020" s="1" t="str">
        <f t="shared" si="70"/>
        <v>02406911202</v>
      </c>
      <c r="C3020" s="1" t="s">
        <v>13</v>
      </c>
      <c r="D3020" s="1" t="s">
        <v>1312</v>
      </c>
      <c r="E3020" s="1" t="s">
        <v>6271</v>
      </c>
      <c r="F3020" s="1" t="s">
        <v>49</v>
      </c>
      <c r="G3020" s="1" t="str">
        <f>"94294570489"</f>
        <v>94294570489</v>
      </c>
      <c r="I3020" s="1" t="s">
        <v>691</v>
      </c>
      <c r="L3020" s="1" t="s">
        <v>44</v>
      </c>
      <c r="M3020" s="1" t="s">
        <v>1314</v>
      </c>
      <c r="AG3020" s="1" t="s">
        <v>124</v>
      </c>
      <c r="AH3020" s="2">
        <v>45023</v>
      </c>
      <c r="AI3020" s="2">
        <v>45291</v>
      </c>
      <c r="AJ3020" s="2">
        <v>45023</v>
      </c>
    </row>
    <row r="3021" spans="1:36">
      <c r="A3021" s="1" t="str">
        <f>"Z503ABE3ED"</f>
        <v>Z503ABE3ED</v>
      </c>
      <c r="B3021" s="1" t="str">
        <f t="shared" si="70"/>
        <v>02406911202</v>
      </c>
      <c r="C3021" s="1" t="s">
        <v>13</v>
      </c>
      <c r="D3021" s="1" t="s">
        <v>1257</v>
      </c>
      <c r="E3021" s="1" t="s">
        <v>6272</v>
      </c>
      <c r="F3021" s="1" t="s">
        <v>49</v>
      </c>
      <c r="G3021" s="1" t="str">
        <f>"04251280378"</f>
        <v>04251280378</v>
      </c>
      <c r="I3021" s="1" t="s">
        <v>6273</v>
      </c>
      <c r="L3021" s="1" t="s">
        <v>44</v>
      </c>
      <c r="M3021" s="1" t="s">
        <v>153</v>
      </c>
      <c r="AG3021" s="1" t="s">
        <v>948</v>
      </c>
      <c r="AH3021" s="2">
        <v>45028</v>
      </c>
      <c r="AI3021" s="2">
        <v>45291</v>
      </c>
      <c r="AJ3021" s="2">
        <v>45028</v>
      </c>
    </row>
    <row r="3022" spans="1:36">
      <c r="A3022" s="1" t="str">
        <f>"ZC13ADC566"</f>
        <v>ZC13ADC566</v>
      </c>
      <c r="B3022" s="1" t="str">
        <f t="shared" si="70"/>
        <v>02406911202</v>
      </c>
      <c r="C3022" s="1" t="s">
        <v>13</v>
      </c>
      <c r="D3022" s="1" t="s">
        <v>1253</v>
      </c>
      <c r="E3022" s="1" t="s">
        <v>1260</v>
      </c>
      <c r="F3022" s="1" t="s">
        <v>49</v>
      </c>
      <c r="G3022" s="1" t="str">
        <f>"12259760150"</f>
        <v>12259760150</v>
      </c>
      <c r="I3022" s="1" t="s">
        <v>1605</v>
      </c>
      <c r="L3022" s="1" t="s">
        <v>44</v>
      </c>
      <c r="M3022" s="1" t="s">
        <v>1255</v>
      </c>
      <c r="AG3022" s="1" t="s">
        <v>6274</v>
      </c>
      <c r="AH3022" s="2">
        <v>45036</v>
      </c>
      <c r="AI3022" s="2">
        <v>45291</v>
      </c>
      <c r="AJ3022" s="2">
        <v>45036</v>
      </c>
    </row>
    <row r="3023" spans="1:36">
      <c r="A3023" s="1" t="str">
        <f>"Z4E3ADAE3F"</f>
        <v>Z4E3ADAE3F</v>
      </c>
      <c r="B3023" s="1" t="str">
        <f t="shared" si="70"/>
        <v>02406911202</v>
      </c>
      <c r="C3023" s="1" t="s">
        <v>13</v>
      </c>
      <c r="D3023" s="1" t="s">
        <v>1253</v>
      </c>
      <c r="E3023" s="1" t="s">
        <v>1260</v>
      </c>
      <c r="F3023" s="1" t="s">
        <v>49</v>
      </c>
      <c r="G3023" s="1" t="str">
        <f>"10517560156"</f>
        <v>10517560156</v>
      </c>
      <c r="I3023" s="1" t="s">
        <v>4215</v>
      </c>
      <c r="L3023" s="1" t="s">
        <v>44</v>
      </c>
      <c r="M3023" s="1" t="s">
        <v>1255</v>
      </c>
      <c r="AG3023" s="1" t="s">
        <v>6275</v>
      </c>
      <c r="AH3023" s="2">
        <v>45036</v>
      </c>
      <c r="AI3023" s="2">
        <v>45291</v>
      </c>
      <c r="AJ3023" s="2">
        <v>45036</v>
      </c>
    </row>
    <row r="3024" spans="1:36">
      <c r="A3024" s="1" t="str">
        <f>"9802971395"</f>
        <v>9802971395</v>
      </c>
      <c r="B3024" s="1" t="str">
        <f t="shared" si="70"/>
        <v>02406911202</v>
      </c>
      <c r="C3024" s="1" t="s">
        <v>13</v>
      </c>
      <c r="D3024" s="1" t="s">
        <v>37</v>
      </c>
      <c r="E3024" s="1" t="s">
        <v>6276</v>
      </c>
      <c r="F3024" s="1" t="s">
        <v>39</v>
      </c>
      <c r="G3024" s="1" t="str">
        <f>"05688870483"</f>
        <v>05688870483</v>
      </c>
      <c r="I3024" s="1" t="s">
        <v>264</v>
      </c>
      <c r="L3024" s="1" t="s">
        <v>44</v>
      </c>
      <c r="M3024" s="1" t="s">
        <v>6277</v>
      </c>
      <c r="AG3024" s="1" t="s">
        <v>6278</v>
      </c>
      <c r="AH3024" s="2">
        <v>45047</v>
      </c>
      <c r="AI3024" s="2">
        <v>45291</v>
      </c>
      <c r="AJ3024" s="2">
        <v>45047</v>
      </c>
    </row>
    <row r="3025" spans="1:36">
      <c r="A3025" s="1" t="str">
        <f>"Z5F3B0F149"</f>
        <v>Z5F3B0F149</v>
      </c>
      <c r="B3025" s="1" t="str">
        <f t="shared" si="70"/>
        <v>02406911202</v>
      </c>
      <c r="C3025" s="1" t="s">
        <v>13</v>
      </c>
      <c r="D3025" s="1" t="s">
        <v>1312</v>
      </c>
      <c r="E3025" s="1" t="s">
        <v>6279</v>
      </c>
      <c r="F3025" s="1" t="s">
        <v>49</v>
      </c>
      <c r="G3025" s="1" t="str">
        <f>"05096510267"</f>
        <v>05096510267</v>
      </c>
      <c r="I3025" s="1" t="s">
        <v>3095</v>
      </c>
      <c r="L3025" s="1" t="s">
        <v>44</v>
      </c>
      <c r="M3025" s="1" t="s">
        <v>1735</v>
      </c>
      <c r="AG3025" s="1" t="s">
        <v>6280</v>
      </c>
      <c r="AH3025" s="2">
        <v>45054</v>
      </c>
      <c r="AI3025" s="2">
        <v>45291</v>
      </c>
      <c r="AJ3025" s="2">
        <v>45054</v>
      </c>
    </row>
    <row r="3026" spans="1:36">
      <c r="A3026" s="1" t="str">
        <f>"Z223B273D1"</f>
        <v>Z223B273D1</v>
      </c>
      <c r="B3026" s="1" t="str">
        <f t="shared" si="70"/>
        <v>02406911202</v>
      </c>
      <c r="C3026" s="1" t="s">
        <v>13</v>
      </c>
      <c r="D3026" s="1" t="s">
        <v>1312</v>
      </c>
      <c r="E3026" s="1" t="s">
        <v>6281</v>
      </c>
      <c r="F3026" s="1" t="s">
        <v>49</v>
      </c>
      <c r="G3026" s="1" t="str">
        <f>"01850990464"</f>
        <v>01850990464</v>
      </c>
      <c r="I3026" s="1" t="s">
        <v>6282</v>
      </c>
      <c r="L3026" s="1" t="s">
        <v>44</v>
      </c>
      <c r="M3026" s="1" t="s">
        <v>1314</v>
      </c>
      <c r="AG3026" s="1" t="s">
        <v>3157</v>
      </c>
      <c r="AH3026" s="2">
        <v>45061</v>
      </c>
      <c r="AI3026" s="2">
        <v>45291</v>
      </c>
      <c r="AJ3026" s="2">
        <v>45061</v>
      </c>
    </row>
    <row r="3027" spans="1:36">
      <c r="A3027" s="1" t="str">
        <f>"ZED3B2E366"</f>
        <v>ZED3B2E366</v>
      </c>
      <c r="B3027" s="1" t="str">
        <f t="shared" si="70"/>
        <v>02406911202</v>
      </c>
      <c r="C3027" s="1" t="s">
        <v>13</v>
      </c>
      <c r="D3027" s="1" t="s">
        <v>1312</v>
      </c>
      <c r="E3027" s="1" t="s">
        <v>6283</v>
      </c>
      <c r="F3027" s="1" t="s">
        <v>49</v>
      </c>
      <c r="G3027" s="1" t="str">
        <f>"04802460156"</f>
        <v>04802460156</v>
      </c>
      <c r="I3027" s="1" t="s">
        <v>6284</v>
      </c>
      <c r="L3027" s="1" t="s">
        <v>44</v>
      </c>
      <c r="M3027" s="1" t="s">
        <v>1491</v>
      </c>
      <c r="AG3027" s="1" t="s">
        <v>124</v>
      </c>
      <c r="AH3027" s="2">
        <v>45062</v>
      </c>
      <c r="AI3027" s="2">
        <v>45291</v>
      </c>
      <c r="AJ3027" s="2">
        <v>45062</v>
      </c>
    </row>
    <row r="3028" spans="1:36">
      <c r="A3028" s="1" t="str">
        <f>"Z583B400C1"</f>
        <v>Z583B400C1</v>
      </c>
      <c r="B3028" s="1" t="str">
        <f t="shared" si="70"/>
        <v>02406911202</v>
      </c>
      <c r="C3028" s="1" t="s">
        <v>13</v>
      </c>
      <c r="D3028" s="1" t="s">
        <v>1253</v>
      </c>
      <c r="E3028" s="1" t="s">
        <v>1270</v>
      </c>
      <c r="F3028" s="1" t="s">
        <v>49</v>
      </c>
      <c r="H3028" s="1" t="str">
        <f>"811968975"</f>
        <v>811968975</v>
      </c>
      <c r="I3028" s="1" t="s">
        <v>6285</v>
      </c>
      <c r="L3028" s="1" t="s">
        <v>44</v>
      </c>
      <c r="M3028" s="1" t="s">
        <v>1255</v>
      </c>
      <c r="AG3028" s="1" t="s">
        <v>124</v>
      </c>
      <c r="AH3028" s="2">
        <v>45068</v>
      </c>
      <c r="AI3028" s="2">
        <v>45291</v>
      </c>
      <c r="AJ3028" s="2">
        <v>45068</v>
      </c>
    </row>
    <row r="3029" spans="1:36">
      <c r="A3029" s="1" t="str">
        <f>"Z793B4F205"</f>
        <v>Z793B4F205</v>
      </c>
      <c r="B3029" s="1" t="str">
        <f t="shared" si="70"/>
        <v>02406911202</v>
      </c>
      <c r="C3029" s="1" t="s">
        <v>13</v>
      </c>
      <c r="D3029" s="1" t="s">
        <v>1253</v>
      </c>
      <c r="E3029" s="1" t="s">
        <v>3210</v>
      </c>
      <c r="F3029" s="1" t="s">
        <v>49</v>
      </c>
      <c r="G3029" s="1" t="str">
        <f>"00204260285"</f>
        <v>00204260285</v>
      </c>
      <c r="I3029" s="1" t="s">
        <v>658</v>
      </c>
      <c r="L3029" s="1" t="s">
        <v>44</v>
      </c>
      <c r="M3029" s="1" t="s">
        <v>153</v>
      </c>
      <c r="AG3029" s="1" t="s">
        <v>124</v>
      </c>
      <c r="AH3029" s="2">
        <v>45071</v>
      </c>
      <c r="AI3029" s="2">
        <v>45291</v>
      </c>
      <c r="AJ3029" s="2">
        <v>45071</v>
      </c>
    </row>
    <row r="3030" spans="1:36">
      <c r="A3030" s="1" t="str">
        <f>"Z223B5F8DE"</f>
        <v>Z223B5F8DE</v>
      </c>
      <c r="B3030" s="1" t="str">
        <f t="shared" si="70"/>
        <v>02406911202</v>
      </c>
      <c r="C3030" s="1" t="s">
        <v>13</v>
      </c>
      <c r="D3030" s="1" t="s">
        <v>1253</v>
      </c>
      <c r="E3030" s="1" t="s">
        <v>1260</v>
      </c>
      <c r="F3030" s="1" t="s">
        <v>49</v>
      </c>
      <c r="G3030" s="1" t="str">
        <f>"08082461008"</f>
        <v>08082461008</v>
      </c>
      <c r="I3030" s="1" t="s">
        <v>423</v>
      </c>
      <c r="L3030" s="1" t="s">
        <v>44</v>
      </c>
      <c r="M3030" s="1" t="s">
        <v>1255</v>
      </c>
      <c r="AG3030" s="1" t="s">
        <v>6286</v>
      </c>
      <c r="AH3030" s="2">
        <v>45076</v>
      </c>
      <c r="AI3030" s="2">
        <v>45291</v>
      </c>
      <c r="AJ3030" s="2">
        <v>45076</v>
      </c>
    </row>
    <row r="3031" spans="1:36">
      <c r="A3031" s="1" t="str">
        <f>"Z443B6885B"</f>
        <v>Z443B6885B</v>
      </c>
      <c r="B3031" s="1" t="str">
        <f t="shared" si="70"/>
        <v>02406911202</v>
      </c>
      <c r="C3031" s="1" t="s">
        <v>13</v>
      </c>
      <c r="D3031" s="1" t="s">
        <v>1312</v>
      </c>
      <c r="E3031" s="1" t="s">
        <v>6287</v>
      </c>
      <c r="F3031" s="1" t="s">
        <v>49</v>
      </c>
      <c r="G3031" s="1" t="str">
        <f>"01681100150"</f>
        <v>01681100150</v>
      </c>
      <c r="I3031" s="1" t="s">
        <v>92</v>
      </c>
      <c r="L3031" s="1" t="s">
        <v>44</v>
      </c>
      <c r="M3031" s="1" t="s">
        <v>1314</v>
      </c>
      <c r="AG3031" s="1" t="s">
        <v>6288</v>
      </c>
      <c r="AH3031" s="2">
        <v>45078</v>
      </c>
      <c r="AI3031" s="2">
        <v>45657</v>
      </c>
      <c r="AJ3031" s="2">
        <v>45078</v>
      </c>
    </row>
    <row r="3032" spans="1:36">
      <c r="A3032" s="1" t="str">
        <f>"ZE83B6867A"</f>
        <v>ZE83B6867A</v>
      </c>
      <c r="B3032" s="1" t="str">
        <f t="shared" si="70"/>
        <v>02406911202</v>
      </c>
      <c r="C3032" s="1" t="s">
        <v>13</v>
      </c>
      <c r="D3032" s="1" t="s">
        <v>1257</v>
      </c>
      <c r="E3032" s="1" t="s">
        <v>6289</v>
      </c>
      <c r="F3032" s="1" t="s">
        <v>49</v>
      </c>
      <c r="G3032" s="1" t="str">
        <f>"03663500969"</f>
        <v>03663500969</v>
      </c>
      <c r="I3032" s="1" t="s">
        <v>1383</v>
      </c>
      <c r="L3032" s="1" t="s">
        <v>44</v>
      </c>
      <c r="M3032" s="1" t="s">
        <v>153</v>
      </c>
      <c r="AG3032" s="1" t="s">
        <v>124</v>
      </c>
      <c r="AH3032" s="2">
        <v>45078</v>
      </c>
      <c r="AI3032" s="2">
        <v>45291</v>
      </c>
      <c r="AJ3032" s="2">
        <v>45078</v>
      </c>
    </row>
    <row r="3033" spans="1:36">
      <c r="A3033" s="1" t="str">
        <f>"ZE13B6E6A3"</f>
        <v>ZE13B6E6A3</v>
      </c>
      <c r="B3033" s="1" t="str">
        <f t="shared" si="70"/>
        <v>02406911202</v>
      </c>
      <c r="C3033" s="1" t="s">
        <v>13</v>
      </c>
      <c r="D3033" s="1" t="s">
        <v>1257</v>
      </c>
      <c r="E3033" s="1" t="s">
        <v>6290</v>
      </c>
      <c r="F3033" s="1" t="s">
        <v>49</v>
      </c>
      <c r="G3033" s="1" t="str">
        <f>"08075151004"</f>
        <v>08075151004</v>
      </c>
      <c r="I3033" s="1" t="s">
        <v>3957</v>
      </c>
      <c r="L3033" s="1" t="s">
        <v>44</v>
      </c>
      <c r="M3033" s="1" t="s">
        <v>933</v>
      </c>
      <c r="AG3033" s="1" t="s">
        <v>6291</v>
      </c>
      <c r="AH3033" s="2">
        <v>45082</v>
      </c>
      <c r="AI3033" s="2">
        <v>45291</v>
      </c>
      <c r="AJ3033" s="2">
        <v>45082</v>
      </c>
    </row>
    <row r="3034" spans="1:36">
      <c r="A3034" s="1" t="str">
        <f>"Z923B6E6EA"</f>
        <v>Z923B6E6EA</v>
      </c>
      <c r="B3034" s="1" t="str">
        <f t="shared" si="70"/>
        <v>02406911202</v>
      </c>
      <c r="C3034" s="1" t="s">
        <v>13</v>
      </c>
      <c r="D3034" s="1" t="s">
        <v>1257</v>
      </c>
      <c r="E3034" s="1" t="s">
        <v>6292</v>
      </c>
      <c r="F3034" s="1" t="s">
        <v>49</v>
      </c>
      <c r="G3034" s="1" t="str">
        <f>"02803441209"</f>
        <v>02803441209</v>
      </c>
      <c r="I3034" s="1" t="s">
        <v>4240</v>
      </c>
      <c r="L3034" s="1" t="s">
        <v>44</v>
      </c>
      <c r="M3034" s="1" t="s">
        <v>930</v>
      </c>
      <c r="AG3034" s="1" t="s">
        <v>6293</v>
      </c>
      <c r="AH3034" s="2">
        <v>45082</v>
      </c>
      <c r="AI3034" s="2">
        <v>45291</v>
      </c>
      <c r="AJ3034" s="2">
        <v>45082</v>
      </c>
    </row>
    <row r="3035" spans="1:36">
      <c r="A3035" s="1" t="str">
        <f>"9865613166"</f>
        <v>9865613166</v>
      </c>
      <c r="B3035" s="1" t="str">
        <f t="shared" si="70"/>
        <v>02406911202</v>
      </c>
      <c r="C3035" s="1" t="s">
        <v>13</v>
      </c>
      <c r="D3035" s="1" t="s">
        <v>37</v>
      </c>
      <c r="E3035" s="1" t="s">
        <v>6294</v>
      </c>
      <c r="F3035" s="1" t="s">
        <v>39</v>
      </c>
      <c r="G3035" s="1" t="str">
        <f>"03071411205"</f>
        <v>03071411205</v>
      </c>
      <c r="I3035" s="1" t="s">
        <v>559</v>
      </c>
      <c r="L3035" s="1" t="s">
        <v>44</v>
      </c>
      <c r="M3035" s="1" t="s">
        <v>561</v>
      </c>
      <c r="AG3035" s="1" t="s">
        <v>2565</v>
      </c>
      <c r="AH3035" s="2">
        <v>45089</v>
      </c>
      <c r="AI3035" s="2">
        <v>45291</v>
      </c>
      <c r="AJ3035" s="2">
        <v>45089</v>
      </c>
    </row>
    <row r="3036" spans="1:36">
      <c r="A3036" s="1" t="str">
        <f>"98656342BA"</f>
        <v>98656342BA</v>
      </c>
      <c r="B3036" s="1" t="str">
        <f t="shared" si="70"/>
        <v>02406911202</v>
      </c>
      <c r="C3036" s="1" t="s">
        <v>13</v>
      </c>
      <c r="D3036" s="1" t="s">
        <v>37</v>
      </c>
      <c r="E3036" s="1" t="s">
        <v>6294</v>
      </c>
      <c r="F3036" s="1" t="s">
        <v>39</v>
      </c>
      <c r="G3036" s="1" t="str">
        <f>"09699320017"</f>
        <v>09699320017</v>
      </c>
      <c r="I3036" s="1" t="s">
        <v>540</v>
      </c>
      <c r="L3036" s="1" t="s">
        <v>44</v>
      </c>
      <c r="M3036" s="1" t="s">
        <v>565</v>
      </c>
      <c r="AG3036" s="1" t="s">
        <v>6295</v>
      </c>
      <c r="AH3036" s="2">
        <v>45089</v>
      </c>
      <c r="AI3036" s="2">
        <v>45291</v>
      </c>
      <c r="AJ3036" s="2">
        <v>45089</v>
      </c>
    </row>
    <row r="3037" spans="1:36">
      <c r="A3037" s="1" t="str">
        <f>"Z7C3B7063E"</f>
        <v>Z7C3B7063E</v>
      </c>
      <c r="B3037" s="1" t="str">
        <f t="shared" si="70"/>
        <v>02406911202</v>
      </c>
      <c r="C3037" s="1" t="s">
        <v>13</v>
      </c>
      <c r="D3037" s="1" t="s">
        <v>1253</v>
      </c>
      <c r="E3037" s="1" t="s">
        <v>1254</v>
      </c>
      <c r="F3037" s="1" t="s">
        <v>49</v>
      </c>
      <c r="G3037" s="1" t="str">
        <f>"07620470018"</f>
        <v>07620470018</v>
      </c>
      <c r="I3037" s="1" t="s">
        <v>1465</v>
      </c>
      <c r="L3037" s="1" t="s">
        <v>44</v>
      </c>
      <c r="M3037" s="1" t="s">
        <v>1255</v>
      </c>
      <c r="AG3037" s="1" t="s">
        <v>2163</v>
      </c>
      <c r="AH3037" s="2">
        <v>45083</v>
      </c>
      <c r="AI3037" s="2">
        <v>45291</v>
      </c>
      <c r="AJ3037" s="2">
        <v>45083</v>
      </c>
    </row>
    <row r="3038" spans="1:36">
      <c r="A3038" s="1" t="str">
        <f>"Z2F3AD361E"</f>
        <v>Z2F3AD361E</v>
      </c>
      <c r="B3038" s="1" t="str">
        <f t="shared" si="70"/>
        <v>02406911202</v>
      </c>
      <c r="C3038" s="1" t="s">
        <v>13</v>
      </c>
      <c r="D3038" s="1" t="s">
        <v>1253</v>
      </c>
      <c r="E3038" s="1" t="s">
        <v>1317</v>
      </c>
      <c r="F3038" s="1" t="s">
        <v>49</v>
      </c>
      <c r="G3038" s="1" t="str">
        <f>"01740391204"</f>
        <v>01740391204</v>
      </c>
      <c r="I3038" s="1" t="s">
        <v>1847</v>
      </c>
      <c r="L3038" s="1" t="s">
        <v>44</v>
      </c>
      <c r="M3038" s="1" t="s">
        <v>1255</v>
      </c>
      <c r="AG3038" s="1" t="s">
        <v>6296</v>
      </c>
      <c r="AH3038" s="2">
        <v>45034</v>
      </c>
      <c r="AI3038" s="2">
        <v>45291</v>
      </c>
      <c r="AJ3038" s="2">
        <v>45034</v>
      </c>
    </row>
    <row r="3039" spans="1:36">
      <c r="A3039" s="1" t="str">
        <f>"Z033AD37FC"</f>
        <v>Z033AD37FC</v>
      </c>
      <c r="B3039" s="1" t="str">
        <f t="shared" si="70"/>
        <v>02406911202</v>
      </c>
      <c r="C3039" s="1" t="s">
        <v>13</v>
      </c>
      <c r="D3039" s="1" t="s">
        <v>1253</v>
      </c>
      <c r="E3039" s="1" t="s">
        <v>6297</v>
      </c>
      <c r="F3039" s="1" t="s">
        <v>49</v>
      </c>
      <c r="G3039" s="1" t="str">
        <f>"00803890151"</f>
        <v>00803890151</v>
      </c>
      <c r="I3039" s="1" t="s">
        <v>68</v>
      </c>
      <c r="L3039" s="1" t="s">
        <v>44</v>
      </c>
      <c r="M3039" s="1" t="s">
        <v>1255</v>
      </c>
      <c r="AG3039" s="1" t="s">
        <v>6298</v>
      </c>
      <c r="AH3039" s="2">
        <v>45034</v>
      </c>
      <c r="AI3039" s="2">
        <v>45291</v>
      </c>
      <c r="AJ3039" s="2">
        <v>45034</v>
      </c>
    </row>
    <row r="3040" spans="1:36">
      <c r="A3040" s="1" t="str">
        <f>"9786541D1B"</f>
        <v>9786541D1B</v>
      </c>
      <c r="B3040" s="1" t="str">
        <f t="shared" si="70"/>
        <v>02406911202</v>
      </c>
      <c r="C3040" s="1" t="s">
        <v>13</v>
      </c>
      <c r="D3040" s="1" t="s">
        <v>1312</v>
      </c>
      <c r="E3040" s="1" t="s">
        <v>6299</v>
      </c>
      <c r="F3040" s="1" t="s">
        <v>49</v>
      </c>
      <c r="G3040" s="1" t="str">
        <f>"11160660152"</f>
        <v>11160660152</v>
      </c>
      <c r="I3040" s="1" t="s">
        <v>306</v>
      </c>
      <c r="L3040" s="1" t="s">
        <v>44</v>
      </c>
      <c r="M3040" s="1" t="s">
        <v>6300</v>
      </c>
      <c r="AG3040" s="1" t="s">
        <v>6301</v>
      </c>
      <c r="AH3040" s="2">
        <v>45049</v>
      </c>
      <c r="AI3040" s="2">
        <v>45138</v>
      </c>
      <c r="AJ3040" s="2">
        <v>45049</v>
      </c>
    </row>
    <row r="3041" spans="1:36">
      <c r="A3041" s="1" t="str">
        <f>"Z4A3AFDDFF"</f>
        <v>Z4A3AFDDFF</v>
      </c>
      <c r="B3041" s="1" t="str">
        <f t="shared" si="70"/>
        <v>02406911202</v>
      </c>
      <c r="C3041" s="1" t="s">
        <v>13</v>
      </c>
      <c r="D3041" s="1" t="s">
        <v>205</v>
      </c>
      <c r="E3041" s="1" t="s">
        <v>6302</v>
      </c>
      <c r="F3041" s="1" t="s">
        <v>49</v>
      </c>
      <c r="G3041" s="1" t="str">
        <f>"02397271202"</f>
        <v>02397271202</v>
      </c>
      <c r="I3041" s="1" t="s">
        <v>6303</v>
      </c>
      <c r="L3041" s="1" t="s">
        <v>44</v>
      </c>
      <c r="M3041" s="1" t="s">
        <v>6304</v>
      </c>
      <c r="AG3041" s="1" t="s">
        <v>6305</v>
      </c>
      <c r="AH3041" s="2">
        <v>44927</v>
      </c>
      <c r="AI3041" s="2">
        <v>45291</v>
      </c>
      <c r="AJ3041" s="2">
        <v>44927</v>
      </c>
    </row>
    <row r="3042" spans="1:36">
      <c r="A3042" s="1" t="str">
        <f>"ZA73B0787C"</f>
        <v>ZA73B0787C</v>
      </c>
      <c r="B3042" s="1" t="str">
        <f t="shared" si="70"/>
        <v>02406911202</v>
      </c>
      <c r="C3042" s="1" t="s">
        <v>13</v>
      </c>
      <c r="D3042" s="1" t="s">
        <v>1257</v>
      </c>
      <c r="E3042" s="1" t="s">
        <v>6306</v>
      </c>
      <c r="F3042" s="1" t="s">
        <v>49</v>
      </c>
      <c r="G3042" s="1" t="str">
        <f>"03240440366"</f>
        <v>03240440366</v>
      </c>
      <c r="I3042" s="1" t="s">
        <v>6307</v>
      </c>
      <c r="L3042" s="1" t="s">
        <v>44</v>
      </c>
      <c r="M3042" s="1" t="s">
        <v>930</v>
      </c>
      <c r="AG3042" s="1" t="s">
        <v>3991</v>
      </c>
      <c r="AH3042" s="2">
        <v>45051</v>
      </c>
      <c r="AI3042" s="2">
        <v>45291</v>
      </c>
      <c r="AJ3042" s="2">
        <v>45051</v>
      </c>
    </row>
    <row r="3043" spans="1:36">
      <c r="A3043" s="1" t="str">
        <f>"Z6F3B07914"</f>
        <v>Z6F3B07914</v>
      </c>
      <c r="B3043" s="1" t="str">
        <f t="shared" si="70"/>
        <v>02406911202</v>
      </c>
      <c r="C3043" s="1" t="s">
        <v>13</v>
      </c>
      <c r="D3043" s="1" t="s">
        <v>1257</v>
      </c>
      <c r="E3043" s="1" t="s">
        <v>6308</v>
      </c>
      <c r="F3043" s="1" t="s">
        <v>49</v>
      </c>
      <c r="G3043" s="1" t="str">
        <f>"09832330964"</f>
        <v>09832330964</v>
      </c>
      <c r="I3043" s="1" t="s">
        <v>6309</v>
      </c>
      <c r="L3043" s="1" t="s">
        <v>44</v>
      </c>
      <c r="M3043" s="1" t="s">
        <v>930</v>
      </c>
      <c r="AG3043" s="1" t="s">
        <v>6310</v>
      </c>
      <c r="AH3043" s="2">
        <v>45051</v>
      </c>
      <c r="AI3043" s="2">
        <v>45291</v>
      </c>
      <c r="AJ3043" s="2">
        <v>45051</v>
      </c>
    </row>
    <row r="3044" spans="1:36">
      <c r="A3044" s="1" t="str">
        <f>"ZC53B2EA44"</f>
        <v>ZC53B2EA44</v>
      </c>
      <c r="B3044" s="1" t="str">
        <f t="shared" si="70"/>
        <v>02406911202</v>
      </c>
      <c r="C3044" s="1" t="s">
        <v>13</v>
      </c>
      <c r="D3044" s="1" t="s">
        <v>205</v>
      </c>
      <c r="E3044" s="1" t="s">
        <v>6311</v>
      </c>
      <c r="F3044" s="1" t="s">
        <v>49</v>
      </c>
      <c r="G3044" s="1" t="str">
        <f>"03221021201"</f>
        <v>03221021201</v>
      </c>
      <c r="I3044" s="1" t="s">
        <v>6312</v>
      </c>
      <c r="L3044" s="1" t="s">
        <v>44</v>
      </c>
      <c r="M3044" s="1" t="s">
        <v>6313</v>
      </c>
      <c r="AG3044" s="1" t="s">
        <v>6314</v>
      </c>
      <c r="AH3044" s="2">
        <v>44927</v>
      </c>
      <c r="AI3044" s="2">
        <v>45291</v>
      </c>
      <c r="AJ3044" s="2">
        <v>44927</v>
      </c>
    </row>
    <row r="3045" spans="1:36">
      <c r="A3045" s="1" t="str">
        <f>"Z463B1F24B"</f>
        <v>Z463B1F24B</v>
      </c>
      <c r="B3045" s="1" t="str">
        <f t="shared" si="70"/>
        <v>02406911202</v>
      </c>
      <c r="C3045" s="1" t="s">
        <v>13</v>
      </c>
      <c r="D3045" s="1" t="s">
        <v>1253</v>
      </c>
      <c r="E3045" s="1" t="s">
        <v>1317</v>
      </c>
      <c r="F3045" s="1" t="s">
        <v>49</v>
      </c>
      <c r="G3045" s="1" t="str">
        <f>"05526631006"</f>
        <v>05526631006</v>
      </c>
      <c r="I3045" s="1" t="s">
        <v>1685</v>
      </c>
      <c r="L3045" s="1" t="s">
        <v>44</v>
      </c>
      <c r="M3045" s="1" t="s">
        <v>1255</v>
      </c>
      <c r="AG3045" s="1" t="s">
        <v>6315</v>
      </c>
      <c r="AH3045" s="2">
        <v>45062</v>
      </c>
      <c r="AI3045" s="2">
        <v>45291</v>
      </c>
      <c r="AJ3045" s="2">
        <v>45062</v>
      </c>
    </row>
    <row r="3046" spans="1:36">
      <c r="A3046" s="1" t="str">
        <f>"ZC73B2F3A1"</f>
        <v>ZC73B2F3A1</v>
      </c>
      <c r="B3046" s="1" t="str">
        <f t="shared" si="70"/>
        <v>02406911202</v>
      </c>
      <c r="C3046" s="1" t="s">
        <v>13</v>
      </c>
      <c r="D3046" s="1" t="s">
        <v>205</v>
      </c>
      <c r="E3046" s="1" t="s">
        <v>6316</v>
      </c>
      <c r="F3046" s="1" t="s">
        <v>49</v>
      </c>
      <c r="G3046" s="1" t="str">
        <f>"03697591208"</f>
        <v>03697591208</v>
      </c>
      <c r="I3046" s="1" t="s">
        <v>6317</v>
      </c>
      <c r="L3046" s="1" t="s">
        <v>44</v>
      </c>
      <c r="M3046" s="1" t="s">
        <v>6318</v>
      </c>
      <c r="AG3046" s="1" t="s">
        <v>6319</v>
      </c>
      <c r="AH3046" s="2">
        <v>44927</v>
      </c>
      <c r="AI3046" s="2">
        <v>45291</v>
      </c>
      <c r="AJ3046" s="2">
        <v>44927</v>
      </c>
    </row>
    <row r="3047" spans="1:36">
      <c r="A3047" s="1" t="str">
        <f>"Z803B2F41A"</f>
        <v>Z803B2F41A</v>
      </c>
      <c r="B3047" s="1" t="str">
        <f t="shared" si="70"/>
        <v>02406911202</v>
      </c>
      <c r="C3047" s="1" t="s">
        <v>13</v>
      </c>
      <c r="D3047" s="1" t="s">
        <v>205</v>
      </c>
      <c r="E3047" s="1" t="s">
        <v>6320</v>
      </c>
      <c r="F3047" s="1" t="s">
        <v>49</v>
      </c>
      <c r="G3047" s="1" t="str">
        <f>"03134991201"</f>
        <v>03134991201</v>
      </c>
      <c r="I3047" s="1" t="s">
        <v>6321</v>
      </c>
      <c r="L3047" s="1" t="s">
        <v>44</v>
      </c>
      <c r="M3047" s="1" t="s">
        <v>6322</v>
      </c>
      <c r="AG3047" s="1" t="s">
        <v>6323</v>
      </c>
      <c r="AH3047" s="2">
        <v>44927</v>
      </c>
      <c r="AI3047" s="2">
        <v>45291</v>
      </c>
      <c r="AJ3047" s="2">
        <v>44927</v>
      </c>
    </row>
    <row r="3048" spans="1:36">
      <c r="A3048" s="1" t="str">
        <f>"ZF93B2F45C"</f>
        <v>ZF93B2F45C</v>
      </c>
      <c r="B3048" s="1" t="str">
        <f t="shared" si="70"/>
        <v>02406911202</v>
      </c>
      <c r="C3048" s="1" t="s">
        <v>13</v>
      </c>
      <c r="D3048" s="1" t="s">
        <v>205</v>
      </c>
      <c r="E3048" s="1" t="s">
        <v>6324</v>
      </c>
      <c r="F3048" s="1" t="s">
        <v>49</v>
      </c>
      <c r="G3048" s="1" t="str">
        <f>"03710111208"</f>
        <v>03710111208</v>
      </c>
      <c r="I3048" s="1" t="s">
        <v>6325</v>
      </c>
      <c r="L3048" s="1" t="s">
        <v>44</v>
      </c>
      <c r="M3048" s="1" t="s">
        <v>6326</v>
      </c>
      <c r="AG3048" s="1" t="s">
        <v>6327</v>
      </c>
      <c r="AH3048" s="2">
        <v>44927</v>
      </c>
      <c r="AI3048" s="2">
        <v>45291</v>
      </c>
      <c r="AJ3048" s="2">
        <v>44927</v>
      </c>
    </row>
    <row r="3049" spans="1:36">
      <c r="A3049" s="1" t="str">
        <f>"Z0F3B2F600"</f>
        <v>Z0F3B2F600</v>
      </c>
      <c r="B3049" s="1" t="str">
        <f t="shared" si="70"/>
        <v>02406911202</v>
      </c>
      <c r="C3049" s="1" t="s">
        <v>13</v>
      </c>
      <c r="D3049" s="1" t="s">
        <v>205</v>
      </c>
      <c r="E3049" s="1" t="s">
        <v>6328</v>
      </c>
      <c r="F3049" s="1" t="s">
        <v>49</v>
      </c>
      <c r="G3049" s="1" t="str">
        <f>"02024211209"</f>
        <v>02024211209</v>
      </c>
      <c r="I3049" s="1" t="s">
        <v>6329</v>
      </c>
      <c r="L3049" s="1" t="s">
        <v>44</v>
      </c>
      <c r="M3049" s="1" t="s">
        <v>6330</v>
      </c>
      <c r="AG3049" s="1" t="s">
        <v>6331</v>
      </c>
      <c r="AH3049" s="2">
        <v>44927</v>
      </c>
      <c r="AI3049" s="2">
        <v>45291</v>
      </c>
      <c r="AJ3049" s="2">
        <v>44927</v>
      </c>
    </row>
    <row r="3050" spans="1:36">
      <c r="A3050" s="1" t="str">
        <f>"9809917799"</f>
        <v>9809917799</v>
      </c>
      <c r="B3050" s="1" t="str">
        <f t="shared" si="70"/>
        <v>02406911202</v>
      </c>
      <c r="C3050" s="1" t="s">
        <v>13</v>
      </c>
      <c r="D3050" s="1" t="s">
        <v>1253</v>
      </c>
      <c r="E3050" s="1" t="s">
        <v>1317</v>
      </c>
      <c r="F3050" s="1" t="s">
        <v>49</v>
      </c>
      <c r="G3050" s="1" t="str">
        <f>"11206730159"</f>
        <v>11206730159</v>
      </c>
      <c r="I3050" s="1" t="s">
        <v>192</v>
      </c>
      <c r="L3050" s="1" t="s">
        <v>44</v>
      </c>
      <c r="M3050" s="1" t="s">
        <v>6332</v>
      </c>
      <c r="AG3050" s="1" t="s">
        <v>6333</v>
      </c>
      <c r="AH3050" s="2">
        <v>45063</v>
      </c>
      <c r="AI3050" s="2">
        <v>45429</v>
      </c>
      <c r="AJ3050" s="2">
        <v>45063</v>
      </c>
    </row>
    <row r="3051" spans="1:36">
      <c r="A3051" s="1" t="str">
        <f>"Z573B31B0E"</f>
        <v>Z573B31B0E</v>
      </c>
      <c r="B3051" s="1" t="str">
        <f t="shared" si="70"/>
        <v>02406911202</v>
      </c>
      <c r="C3051" s="1" t="s">
        <v>13</v>
      </c>
      <c r="D3051" s="1" t="s">
        <v>205</v>
      </c>
      <c r="E3051" s="1" t="s">
        <v>6334</v>
      </c>
      <c r="F3051" s="1" t="s">
        <v>49</v>
      </c>
      <c r="G3051" s="1" t="str">
        <f>"03067201206"</f>
        <v>03067201206</v>
      </c>
      <c r="I3051" s="1" t="s">
        <v>6335</v>
      </c>
      <c r="L3051" s="1" t="s">
        <v>44</v>
      </c>
      <c r="M3051" s="1" t="s">
        <v>6336</v>
      </c>
      <c r="AG3051" s="1" t="s">
        <v>6337</v>
      </c>
      <c r="AH3051" s="2">
        <v>44927</v>
      </c>
      <c r="AI3051" s="2">
        <v>45291</v>
      </c>
      <c r="AJ3051" s="2">
        <v>44927</v>
      </c>
    </row>
    <row r="3052" spans="1:36">
      <c r="A3052" s="1" t="str">
        <f>"9805328CA1"</f>
        <v>9805328CA1</v>
      </c>
      <c r="B3052" s="1" t="str">
        <f t="shared" si="70"/>
        <v>02406911202</v>
      </c>
      <c r="C3052" s="1" t="s">
        <v>13</v>
      </c>
      <c r="D3052" s="1" t="s">
        <v>37</v>
      </c>
      <c r="E3052" s="1" t="s">
        <v>6338</v>
      </c>
      <c r="F3052" s="1" t="s">
        <v>99</v>
      </c>
      <c r="G3052" s="1" t="str">
        <f>"00497121202"</f>
        <v>00497121202</v>
      </c>
      <c r="I3052" s="1" t="s">
        <v>6339</v>
      </c>
      <c r="L3052" s="1" t="s">
        <v>44</v>
      </c>
      <c r="M3052" s="1" t="s">
        <v>475</v>
      </c>
      <c r="AG3052" s="1" t="s">
        <v>6340</v>
      </c>
      <c r="AH3052" s="2">
        <v>45078</v>
      </c>
      <c r="AI3052" s="2">
        <v>45443</v>
      </c>
      <c r="AJ3052" s="2">
        <v>45078</v>
      </c>
    </row>
    <row r="3053" spans="1:36">
      <c r="A3053" s="1" t="str">
        <f>"Z093B55D19"</f>
        <v>Z093B55D19</v>
      </c>
      <c r="B3053" s="1" t="str">
        <f t="shared" si="70"/>
        <v>02406911202</v>
      </c>
      <c r="C3053" s="1" t="s">
        <v>13</v>
      </c>
      <c r="D3053" s="1" t="s">
        <v>1253</v>
      </c>
      <c r="E3053" s="1" t="s">
        <v>1270</v>
      </c>
      <c r="F3053" s="1" t="s">
        <v>49</v>
      </c>
      <c r="G3053" s="1" t="str">
        <f>"07484470153"</f>
        <v>07484470153</v>
      </c>
      <c r="I3053" s="1" t="s">
        <v>3289</v>
      </c>
      <c r="L3053" s="1" t="s">
        <v>44</v>
      </c>
      <c r="M3053" s="1" t="s">
        <v>1255</v>
      </c>
      <c r="AG3053" s="1" t="s">
        <v>6341</v>
      </c>
      <c r="AH3053" s="2">
        <v>45072</v>
      </c>
      <c r="AI3053" s="2">
        <v>45291</v>
      </c>
      <c r="AJ3053" s="2">
        <v>45072</v>
      </c>
    </row>
    <row r="3054" spans="1:36">
      <c r="A3054" s="1" t="str">
        <f>"ZE63B4F8D9"</f>
        <v>ZE63B4F8D9</v>
      </c>
      <c r="B3054" s="1" t="str">
        <f t="shared" si="70"/>
        <v>02406911202</v>
      </c>
      <c r="C3054" s="1" t="s">
        <v>13</v>
      </c>
      <c r="D3054" s="1" t="s">
        <v>1741</v>
      </c>
      <c r="E3054" s="1" t="s">
        <v>6342</v>
      </c>
      <c r="F3054" s="1" t="s">
        <v>39</v>
      </c>
      <c r="G3054" s="1" t="str">
        <f>"02376321200"</f>
        <v>02376321200</v>
      </c>
      <c r="I3054" s="1" t="s">
        <v>1884</v>
      </c>
      <c r="L3054" s="1" t="s">
        <v>44</v>
      </c>
      <c r="M3054" s="1" t="s">
        <v>5703</v>
      </c>
      <c r="AG3054" s="1" t="s">
        <v>5703</v>
      </c>
      <c r="AH3054" s="2">
        <v>45072</v>
      </c>
      <c r="AI3054" s="2">
        <v>45291</v>
      </c>
      <c r="AJ3054" s="2">
        <v>45072</v>
      </c>
    </row>
    <row r="3055" spans="1:36">
      <c r="A3055" s="1" t="str">
        <f>"ZB03AC61CF"</f>
        <v>ZB03AC61CF</v>
      </c>
      <c r="B3055" s="1" t="str">
        <f t="shared" si="70"/>
        <v>02406911202</v>
      </c>
      <c r="C3055" s="1" t="s">
        <v>13</v>
      </c>
      <c r="D3055" s="1" t="s">
        <v>1741</v>
      </c>
      <c r="E3055" s="1" t="s">
        <v>6343</v>
      </c>
      <c r="F3055" s="1" t="s">
        <v>39</v>
      </c>
      <c r="G3055" s="1" t="str">
        <f>"01944260221"</f>
        <v>01944260221</v>
      </c>
      <c r="I3055" s="1" t="s">
        <v>6344</v>
      </c>
      <c r="L3055" s="1" t="s">
        <v>44</v>
      </c>
      <c r="M3055" s="1" t="s">
        <v>6345</v>
      </c>
      <c r="AG3055" s="1" t="s">
        <v>6346</v>
      </c>
      <c r="AH3055" s="2">
        <v>45029</v>
      </c>
      <c r="AI3055" s="2">
        <v>45291</v>
      </c>
      <c r="AJ3055" s="2">
        <v>45029</v>
      </c>
    </row>
    <row r="3056" spans="1:36">
      <c r="A3056" s="1" t="str">
        <f>"Z5E3B57ADF"</f>
        <v>Z5E3B57ADF</v>
      </c>
      <c r="B3056" s="1" t="str">
        <f t="shared" si="70"/>
        <v>02406911202</v>
      </c>
      <c r="C3056" s="1" t="s">
        <v>13</v>
      </c>
      <c r="D3056" s="1" t="s">
        <v>1312</v>
      </c>
      <c r="E3056" s="1" t="s">
        <v>6347</v>
      </c>
      <c r="F3056" s="1" t="s">
        <v>49</v>
      </c>
      <c r="G3056" s="1" t="str">
        <f>"05288490286"</f>
        <v>05288490286</v>
      </c>
      <c r="I3056" s="1" t="s">
        <v>4722</v>
      </c>
      <c r="L3056" s="1" t="s">
        <v>44</v>
      </c>
      <c r="M3056" s="1" t="s">
        <v>1314</v>
      </c>
      <c r="AG3056" s="1" t="s">
        <v>124</v>
      </c>
      <c r="AH3056" s="2">
        <v>45075</v>
      </c>
      <c r="AI3056" s="2">
        <v>46022</v>
      </c>
      <c r="AJ3056" s="2">
        <v>45075</v>
      </c>
    </row>
    <row r="3057" spans="1:36">
      <c r="A3057" s="1" t="str">
        <f>"Z783B57FEB"</f>
        <v>Z783B57FEB</v>
      </c>
      <c r="B3057" s="1" t="str">
        <f t="shared" si="70"/>
        <v>02406911202</v>
      </c>
      <c r="C3057" s="1" t="s">
        <v>13</v>
      </c>
      <c r="D3057" s="1" t="s">
        <v>1312</v>
      </c>
      <c r="E3057" s="1" t="s">
        <v>6348</v>
      </c>
      <c r="F3057" s="1" t="s">
        <v>49</v>
      </c>
      <c r="G3057" s="1" t="str">
        <f>"00615700374"</f>
        <v>00615700374</v>
      </c>
      <c r="I3057" s="1" t="s">
        <v>1453</v>
      </c>
      <c r="L3057" s="1" t="s">
        <v>44</v>
      </c>
      <c r="M3057" s="1" t="s">
        <v>1314</v>
      </c>
      <c r="AG3057" s="1" t="s">
        <v>124</v>
      </c>
      <c r="AH3057" s="2">
        <v>45075</v>
      </c>
      <c r="AI3057" s="2">
        <v>46022</v>
      </c>
      <c r="AJ3057" s="2">
        <v>45075</v>
      </c>
    </row>
    <row r="3058" spans="1:36">
      <c r="A3058" s="1" t="str">
        <f>"Z973B596FB"</f>
        <v>Z973B596FB</v>
      </c>
      <c r="B3058" s="1" t="str">
        <f t="shared" si="70"/>
        <v>02406911202</v>
      </c>
      <c r="C3058" s="1" t="s">
        <v>13</v>
      </c>
      <c r="D3058" s="1" t="s">
        <v>1312</v>
      </c>
      <c r="E3058" s="1" t="s">
        <v>1974</v>
      </c>
      <c r="F3058" s="1" t="s">
        <v>49</v>
      </c>
      <c r="G3058" s="1" t="str">
        <f>"00318160371"</f>
        <v>00318160371</v>
      </c>
      <c r="I3058" s="1" t="s">
        <v>6349</v>
      </c>
      <c r="L3058" s="1" t="s">
        <v>44</v>
      </c>
      <c r="M3058" s="1" t="s">
        <v>1515</v>
      </c>
      <c r="AG3058" s="1" t="s">
        <v>1515</v>
      </c>
      <c r="AH3058" s="2">
        <v>45068</v>
      </c>
      <c r="AI3058" s="2">
        <v>45077</v>
      </c>
      <c r="AJ3058" s="2">
        <v>45068</v>
      </c>
    </row>
    <row r="3059" spans="1:36">
      <c r="A3059" s="1" t="str">
        <f>"ZD73B59F68"</f>
        <v>ZD73B59F68</v>
      </c>
      <c r="B3059" s="1" t="str">
        <f t="shared" si="70"/>
        <v>02406911202</v>
      </c>
      <c r="C3059" s="1" t="s">
        <v>13</v>
      </c>
      <c r="D3059" s="1" t="s">
        <v>1253</v>
      </c>
      <c r="E3059" s="1" t="s">
        <v>3210</v>
      </c>
      <c r="F3059" s="1" t="s">
        <v>49</v>
      </c>
      <c r="G3059" s="1" t="str">
        <f>"00228550273"</f>
        <v>00228550273</v>
      </c>
      <c r="I3059" s="1" t="s">
        <v>1717</v>
      </c>
      <c r="L3059" s="1" t="s">
        <v>44</v>
      </c>
      <c r="M3059" s="1" t="s">
        <v>1255</v>
      </c>
      <c r="AG3059" s="1" t="s">
        <v>6350</v>
      </c>
      <c r="AH3059" s="2">
        <v>45075</v>
      </c>
      <c r="AI3059" s="2">
        <v>45291</v>
      </c>
      <c r="AJ3059" s="2">
        <v>45075</v>
      </c>
    </row>
    <row r="3060" spans="1:36">
      <c r="A3060" s="1" t="str">
        <f>"ZF83AA3F7C"</f>
        <v>ZF83AA3F7C</v>
      </c>
      <c r="B3060" s="1" t="str">
        <f t="shared" si="70"/>
        <v>02406911202</v>
      </c>
      <c r="C3060" s="1" t="s">
        <v>13</v>
      </c>
      <c r="D3060" s="1" t="s">
        <v>1257</v>
      </c>
      <c r="E3060" s="1" t="s">
        <v>6351</v>
      </c>
      <c r="F3060" s="1" t="s">
        <v>49</v>
      </c>
      <c r="G3060" s="1" t="str">
        <f>"01630000287"</f>
        <v>01630000287</v>
      </c>
      <c r="I3060" s="1" t="s">
        <v>1470</v>
      </c>
      <c r="L3060" s="1" t="s">
        <v>44</v>
      </c>
      <c r="M3060" s="1" t="s">
        <v>153</v>
      </c>
      <c r="AG3060" s="1" t="s">
        <v>6352</v>
      </c>
      <c r="AH3060" s="2">
        <v>45019</v>
      </c>
      <c r="AI3060" s="2">
        <v>45291</v>
      </c>
      <c r="AJ3060" s="2">
        <v>45019</v>
      </c>
    </row>
    <row r="3061" spans="1:36">
      <c r="A3061" s="1" t="str">
        <f>"Z733AC2153"</f>
        <v>Z733AC2153</v>
      </c>
      <c r="B3061" s="1" t="str">
        <f t="shared" si="70"/>
        <v>02406911202</v>
      </c>
      <c r="C3061" s="1" t="s">
        <v>13</v>
      </c>
      <c r="D3061" s="1" t="s">
        <v>1312</v>
      </c>
      <c r="E3061" s="1" t="s">
        <v>6353</v>
      </c>
      <c r="F3061" s="1" t="s">
        <v>49</v>
      </c>
      <c r="G3061" s="1" t="str">
        <f>"00805390283"</f>
        <v>00805390283</v>
      </c>
      <c r="I3061" s="1" t="s">
        <v>3576</v>
      </c>
      <c r="L3061" s="1" t="s">
        <v>44</v>
      </c>
      <c r="M3061" s="1" t="s">
        <v>1314</v>
      </c>
      <c r="AG3061" s="1" t="s">
        <v>6354</v>
      </c>
      <c r="AH3061" s="2">
        <v>45029</v>
      </c>
      <c r="AI3061" s="2">
        <v>46022</v>
      </c>
      <c r="AJ3061" s="2">
        <v>45029</v>
      </c>
    </row>
    <row r="3062" spans="1:36">
      <c r="A3062" s="1" t="str">
        <f>"Z183AC35E6"</f>
        <v>Z183AC35E6</v>
      </c>
      <c r="B3062" s="1" t="str">
        <f t="shared" si="70"/>
        <v>02406911202</v>
      </c>
      <c r="C3062" s="1" t="s">
        <v>13</v>
      </c>
      <c r="D3062" s="1" t="s">
        <v>205</v>
      </c>
      <c r="E3062" s="1" t="s">
        <v>6355</v>
      </c>
      <c r="F3062" s="1" t="s">
        <v>49</v>
      </c>
      <c r="G3062" s="1" t="str">
        <f>"03228620369"</f>
        <v>03228620369</v>
      </c>
      <c r="I3062" s="1" t="s">
        <v>6356</v>
      </c>
      <c r="L3062" s="1" t="s">
        <v>44</v>
      </c>
      <c r="M3062" s="1" t="s">
        <v>6357</v>
      </c>
      <c r="AG3062" s="1" t="s">
        <v>6358</v>
      </c>
      <c r="AH3062" s="2">
        <v>44927</v>
      </c>
      <c r="AI3062" s="2">
        <v>45291</v>
      </c>
      <c r="AJ3062" s="2">
        <v>44927</v>
      </c>
    </row>
    <row r="3063" spans="1:36">
      <c r="A3063" s="1" t="str">
        <f>"9756956ECA"</f>
        <v>9756956ECA</v>
      </c>
      <c r="B3063" s="1" t="str">
        <f t="shared" si="70"/>
        <v>02406911202</v>
      </c>
      <c r="C3063" s="1" t="s">
        <v>13</v>
      </c>
      <c r="D3063" s="1" t="s">
        <v>37</v>
      </c>
      <c r="E3063" s="1" t="s">
        <v>6359</v>
      </c>
      <c r="F3063" s="1" t="s">
        <v>117</v>
      </c>
      <c r="G3063" s="1" t="str">
        <f>"03912680372"</f>
        <v>03912680372</v>
      </c>
      <c r="I3063" s="1" t="s">
        <v>761</v>
      </c>
      <c r="L3063" s="1" t="s">
        <v>44</v>
      </c>
      <c r="M3063" s="1" t="s">
        <v>763</v>
      </c>
      <c r="AG3063" s="1" t="s">
        <v>6360</v>
      </c>
      <c r="AH3063" s="2">
        <v>45024</v>
      </c>
      <c r="AI3063" s="2">
        <v>45389</v>
      </c>
      <c r="AJ3063" s="2">
        <v>45024</v>
      </c>
    </row>
    <row r="3064" spans="1:36">
      <c r="A3064" s="1" t="str">
        <f>"977918351A"</f>
        <v>977918351A</v>
      </c>
      <c r="B3064" s="1" t="str">
        <f t="shared" si="70"/>
        <v>02406911202</v>
      </c>
      <c r="C3064" s="1" t="s">
        <v>13</v>
      </c>
      <c r="D3064" s="1" t="s">
        <v>205</v>
      </c>
      <c r="E3064" s="1" t="s">
        <v>6361</v>
      </c>
      <c r="F3064" s="1" t="s">
        <v>49</v>
      </c>
      <c r="G3064" s="1" t="str">
        <f>"02911541205"</f>
        <v>02911541205</v>
      </c>
      <c r="I3064" s="1" t="s">
        <v>6362</v>
      </c>
      <c r="L3064" s="1" t="s">
        <v>44</v>
      </c>
      <c r="M3064" s="1" t="s">
        <v>6363</v>
      </c>
      <c r="AG3064" s="1" t="s">
        <v>6364</v>
      </c>
      <c r="AH3064" s="2">
        <v>44927</v>
      </c>
      <c r="AI3064" s="2">
        <v>45291</v>
      </c>
      <c r="AJ3064" s="2">
        <v>44927</v>
      </c>
    </row>
    <row r="3065" spans="1:36">
      <c r="A3065" s="1" t="str">
        <f>"97793173AF"</f>
        <v>97793173AF</v>
      </c>
      <c r="B3065" s="1" t="str">
        <f t="shared" si="70"/>
        <v>02406911202</v>
      </c>
      <c r="C3065" s="1" t="s">
        <v>13</v>
      </c>
      <c r="D3065" s="1" t="s">
        <v>205</v>
      </c>
      <c r="E3065" s="1" t="s">
        <v>6365</v>
      </c>
      <c r="F3065" s="1" t="s">
        <v>49</v>
      </c>
      <c r="G3065" s="1" t="str">
        <f>"02911541205"</f>
        <v>02911541205</v>
      </c>
      <c r="I3065" s="1" t="s">
        <v>6362</v>
      </c>
      <c r="L3065" s="1" t="s">
        <v>44</v>
      </c>
      <c r="M3065" s="1" t="s">
        <v>6363</v>
      </c>
      <c r="AG3065" s="1" t="s">
        <v>6364</v>
      </c>
      <c r="AH3065" s="2">
        <v>44927</v>
      </c>
      <c r="AI3065" s="2">
        <v>45291</v>
      </c>
      <c r="AJ3065" s="2">
        <v>44927</v>
      </c>
    </row>
    <row r="3066" spans="1:36">
      <c r="A3066" s="1" t="str">
        <f>"9782738AC6"</f>
        <v>9782738AC6</v>
      </c>
      <c r="B3066" s="1" t="str">
        <f t="shared" si="70"/>
        <v>02406911202</v>
      </c>
      <c r="C3066" s="1" t="s">
        <v>13</v>
      </c>
      <c r="D3066" s="1" t="s">
        <v>1312</v>
      </c>
      <c r="E3066" s="1" t="s">
        <v>6366</v>
      </c>
      <c r="F3066" s="1" t="s">
        <v>49</v>
      </c>
      <c r="G3066" s="1" t="str">
        <f>"00503151201"</f>
        <v>00503151201</v>
      </c>
      <c r="I3066" s="1" t="s">
        <v>2329</v>
      </c>
      <c r="L3066" s="1" t="s">
        <v>44</v>
      </c>
      <c r="M3066" s="1" t="s">
        <v>2770</v>
      </c>
      <c r="AG3066" s="1" t="s">
        <v>6367</v>
      </c>
      <c r="AH3066" s="2">
        <v>45049</v>
      </c>
      <c r="AI3066" s="2">
        <v>45415</v>
      </c>
      <c r="AJ3066" s="2">
        <v>45049</v>
      </c>
    </row>
    <row r="3067" spans="1:36">
      <c r="A3067" s="1" t="str">
        <f>"Z333B18E11"</f>
        <v>Z333B18E11</v>
      </c>
      <c r="B3067" s="1" t="str">
        <f t="shared" si="70"/>
        <v>02406911202</v>
      </c>
      <c r="C3067" s="1" t="s">
        <v>13</v>
      </c>
      <c r="D3067" s="1" t="s">
        <v>1253</v>
      </c>
      <c r="E3067" s="1" t="s">
        <v>1254</v>
      </c>
      <c r="F3067" s="1" t="s">
        <v>49</v>
      </c>
      <c r="G3067" s="1" t="str">
        <f>"02804530968"</f>
        <v>02804530968</v>
      </c>
      <c r="I3067" s="1" t="s">
        <v>1599</v>
      </c>
      <c r="L3067" s="1" t="s">
        <v>44</v>
      </c>
      <c r="M3067" s="1" t="s">
        <v>1255</v>
      </c>
      <c r="AG3067" s="1" t="s">
        <v>6368</v>
      </c>
      <c r="AH3067" s="2">
        <v>45058</v>
      </c>
      <c r="AI3067" s="2">
        <v>45291</v>
      </c>
      <c r="AJ3067" s="2">
        <v>45058</v>
      </c>
    </row>
    <row r="3068" spans="1:36">
      <c r="A3068" s="1" t="str">
        <f>"Z4A3B18E62"</f>
        <v>Z4A3B18E62</v>
      </c>
      <c r="B3068" s="1" t="str">
        <f t="shared" si="70"/>
        <v>02406911202</v>
      </c>
      <c r="C3068" s="1" t="s">
        <v>13</v>
      </c>
      <c r="D3068" s="1" t="s">
        <v>1253</v>
      </c>
      <c r="E3068" s="1" t="s">
        <v>1254</v>
      </c>
      <c r="F3068" s="1" t="s">
        <v>49</v>
      </c>
      <c r="G3068" s="1" t="str">
        <f>"01737830230"</f>
        <v>01737830230</v>
      </c>
      <c r="I3068" s="1" t="s">
        <v>1696</v>
      </c>
      <c r="L3068" s="1" t="s">
        <v>44</v>
      </c>
      <c r="M3068" s="1" t="s">
        <v>1255</v>
      </c>
      <c r="AG3068" s="1" t="s">
        <v>4166</v>
      </c>
      <c r="AH3068" s="2">
        <v>45058</v>
      </c>
      <c r="AI3068" s="2">
        <v>45291</v>
      </c>
      <c r="AJ3068" s="2">
        <v>45058</v>
      </c>
    </row>
    <row r="3069" spans="1:36">
      <c r="A3069" s="1" t="str">
        <f>"Z8F3B2EC61"</f>
        <v>Z8F3B2EC61</v>
      </c>
      <c r="B3069" s="1" t="str">
        <f t="shared" si="70"/>
        <v>02406911202</v>
      </c>
      <c r="C3069" s="1" t="s">
        <v>13</v>
      </c>
      <c r="D3069" s="1" t="s">
        <v>1253</v>
      </c>
      <c r="E3069" s="1" t="s">
        <v>1270</v>
      </c>
      <c r="F3069" s="1" t="s">
        <v>49</v>
      </c>
      <c r="H3069" s="1" t="str">
        <f>"95482218294"</f>
        <v>95482218294</v>
      </c>
      <c r="I3069" s="1" t="s">
        <v>6369</v>
      </c>
      <c r="L3069" s="1" t="s">
        <v>44</v>
      </c>
      <c r="M3069" s="1" t="s">
        <v>1255</v>
      </c>
      <c r="AG3069" s="1" t="s">
        <v>6370</v>
      </c>
      <c r="AH3069" s="2">
        <v>45062</v>
      </c>
      <c r="AI3069" s="2">
        <v>45291</v>
      </c>
      <c r="AJ3069" s="2">
        <v>45062</v>
      </c>
    </row>
    <row r="3070" spans="1:36">
      <c r="A3070" s="1" t="str">
        <f>"ZF23B2EC97"</f>
        <v>ZF23B2EC97</v>
      </c>
      <c r="B3070" s="1" t="str">
        <f t="shared" si="70"/>
        <v>02406911202</v>
      </c>
      <c r="C3070" s="1" t="s">
        <v>13</v>
      </c>
      <c r="D3070" s="1" t="s">
        <v>1253</v>
      </c>
      <c r="E3070" s="1" t="s">
        <v>1270</v>
      </c>
      <c r="F3070" s="1" t="s">
        <v>49</v>
      </c>
      <c r="G3070" s="1" t="str">
        <f>"02368591208"</f>
        <v>02368591208</v>
      </c>
      <c r="I3070" s="1" t="s">
        <v>444</v>
      </c>
      <c r="L3070" s="1" t="s">
        <v>44</v>
      </c>
      <c r="M3070" s="1" t="s">
        <v>1255</v>
      </c>
      <c r="AG3070" s="1" t="s">
        <v>124</v>
      </c>
      <c r="AH3070" s="2">
        <v>45062</v>
      </c>
      <c r="AI3070" s="2">
        <v>45291</v>
      </c>
      <c r="AJ3070" s="2">
        <v>45062</v>
      </c>
    </row>
    <row r="3071" spans="1:36">
      <c r="A3071" s="1" t="str">
        <f>"Z653B2EBD8"</f>
        <v>Z653B2EBD8</v>
      </c>
      <c r="B3071" s="1" t="str">
        <f t="shared" si="70"/>
        <v>02406911202</v>
      </c>
      <c r="C3071" s="1" t="s">
        <v>13</v>
      </c>
      <c r="D3071" s="1" t="s">
        <v>205</v>
      </c>
      <c r="E3071" s="1" t="s">
        <v>6371</v>
      </c>
      <c r="F3071" s="1" t="s">
        <v>49</v>
      </c>
      <c r="G3071" s="1" t="str">
        <f>"03694621206"</f>
        <v>03694621206</v>
      </c>
      <c r="I3071" s="1" t="s">
        <v>6372</v>
      </c>
      <c r="L3071" s="1" t="s">
        <v>44</v>
      </c>
      <c r="M3071" s="1" t="s">
        <v>6373</v>
      </c>
      <c r="AG3071" s="1" t="s">
        <v>6374</v>
      </c>
      <c r="AH3071" s="2">
        <v>44927</v>
      </c>
      <c r="AI3071" s="2">
        <v>45291</v>
      </c>
      <c r="AJ3071" s="2">
        <v>44927</v>
      </c>
    </row>
    <row r="3072" spans="1:36">
      <c r="A3072" s="1" t="str">
        <f>"Z6B3B2EC7B"</f>
        <v>Z6B3B2EC7B</v>
      </c>
      <c r="B3072" s="1" t="str">
        <f t="shared" si="70"/>
        <v>02406911202</v>
      </c>
      <c r="C3072" s="1" t="s">
        <v>13</v>
      </c>
      <c r="D3072" s="1" t="s">
        <v>205</v>
      </c>
      <c r="E3072" s="1" t="s">
        <v>6375</v>
      </c>
      <c r="F3072" s="1" t="s">
        <v>49</v>
      </c>
      <c r="G3072" s="1" t="str">
        <f>"03663511206"</f>
        <v>03663511206</v>
      </c>
      <c r="I3072" s="1" t="s">
        <v>6376</v>
      </c>
      <c r="L3072" s="1" t="s">
        <v>44</v>
      </c>
      <c r="M3072" s="1" t="s">
        <v>6377</v>
      </c>
      <c r="AG3072" s="1" t="s">
        <v>6378</v>
      </c>
      <c r="AH3072" s="2">
        <v>44927</v>
      </c>
      <c r="AI3072" s="2">
        <v>45291</v>
      </c>
      <c r="AJ3072" s="2">
        <v>44927</v>
      </c>
    </row>
    <row r="3073" spans="1:36">
      <c r="A3073" s="1" t="str">
        <f>"Z8C3B58C2C"</f>
        <v>Z8C3B58C2C</v>
      </c>
      <c r="B3073" s="1" t="str">
        <f t="shared" si="70"/>
        <v>02406911202</v>
      </c>
      <c r="C3073" s="1" t="s">
        <v>13</v>
      </c>
      <c r="D3073" s="1" t="s">
        <v>1312</v>
      </c>
      <c r="E3073" s="1" t="s">
        <v>6379</v>
      </c>
      <c r="F3073" s="1" t="s">
        <v>49</v>
      </c>
      <c r="G3073" s="1" t="str">
        <f>"11160660152"</f>
        <v>11160660152</v>
      </c>
      <c r="I3073" s="1" t="s">
        <v>306</v>
      </c>
      <c r="L3073" s="1" t="s">
        <v>44</v>
      </c>
      <c r="M3073" s="1" t="s">
        <v>1314</v>
      </c>
      <c r="AG3073" s="1" t="s">
        <v>6380</v>
      </c>
      <c r="AH3073" s="2">
        <v>45075</v>
      </c>
      <c r="AI3073" s="2">
        <v>46022</v>
      </c>
      <c r="AJ3073" s="2">
        <v>45075</v>
      </c>
    </row>
    <row r="3074" spans="1:36">
      <c r="A3074" s="1" t="str">
        <f>"Z943B68663"</f>
        <v>Z943B68663</v>
      </c>
      <c r="B3074" s="1" t="str">
        <f t="shared" si="70"/>
        <v>02406911202</v>
      </c>
      <c r="C3074" s="1" t="s">
        <v>13</v>
      </c>
      <c r="D3074" s="1" t="s">
        <v>1312</v>
      </c>
      <c r="E3074" s="1" t="s">
        <v>6381</v>
      </c>
      <c r="F3074" s="1" t="s">
        <v>49</v>
      </c>
      <c r="G3074" s="1" t="str">
        <f>"03978000374"</f>
        <v>03978000374</v>
      </c>
      <c r="I3074" s="1" t="s">
        <v>6382</v>
      </c>
      <c r="L3074" s="1" t="s">
        <v>44</v>
      </c>
      <c r="M3074" s="1" t="s">
        <v>2155</v>
      </c>
      <c r="AG3074" s="1" t="s">
        <v>124</v>
      </c>
      <c r="AH3074" s="2">
        <v>45078</v>
      </c>
      <c r="AI3074" s="2">
        <v>45291</v>
      </c>
      <c r="AJ3074" s="2">
        <v>45078</v>
      </c>
    </row>
    <row r="3075" spans="1:36">
      <c r="A3075" s="1" t="str">
        <f>"ZEC3B6C458"</f>
        <v>ZEC3B6C458</v>
      </c>
      <c r="B3075" s="1" t="str">
        <f t="shared" si="70"/>
        <v>02406911202</v>
      </c>
      <c r="C3075" s="1" t="s">
        <v>13</v>
      </c>
      <c r="D3075" s="1" t="s">
        <v>1253</v>
      </c>
      <c r="E3075" s="1" t="s">
        <v>1317</v>
      </c>
      <c r="F3075" s="1" t="s">
        <v>49</v>
      </c>
      <c r="G3075" s="1" t="str">
        <f>"01629650167"</f>
        <v>01629650167</v>
      </c>
      <c r="I3075" s="1" t="s">
        <v>6078</v>
      </c>
      <c r="L3075" s="1" t="s">
        <v>44</v>
      </c>
      <c r="M3075" s="1" t="s">
        <v>1255</v>
      </c>
      <c r="AG3075" s="1" t="s">
        <v>6383</v>
      </c>
      <c r="AH3075" s="2">
        <v>45082</v>
      </c>
      <c r="AI3075" s="2">
        <v>45291</v>
      </c>
      <c r="AJ3075" s="2">
        <v>45082</v>
      </c>
    </row>
    <row r="3076" spans="1:36">
      <c r="A3076" s="1" t="str">
        <f>"Z843B6D17E"</f>
        <v>Z843B6D17E</v>
      </c>
      <c r="B3076" s="1" t="str">
        <f t="shared" si="70"/>
        <v>02406911202</v>
      </c>
      <c r="C3076" s="1" t="s">
        <v>13</v>
      </c>
      <c r="D3076" s="1" t="s">
        <v>205</v>
      </c>
      <c r="E3076" s="1" t="s">
        <v>6384</v>
      </c>
      <c r="F3076" s="1" t="s">
        <v>49</v>
      </c>
      <c r="H3076" s="1" t="str">
        <f>"005033019B01"</f>
        <v>005033019B01</v>
      </c>
      <c r="I3076" s="1" t="s">
        <v>6385</v>
      </c>
      <c r="L3076" s="1" t="s">
        <v>44</v>
      </c>
      <c r="M3076" s="1" t="s">
        <v>6386</v>
      </c>
      <c r="AG3076" s="1" t="s">
        <v>124</v>
      </c>
      <c r="AH3076" s="2">
        <v>44927</v>
      </c>
      <c r="AI3076" s="2">
        <v>45291</v>
      </c>
      <c r="AJ3076" s="2">
        <v>44927</v>
      </c>
    </row>
    <row r="3077" spans="1:36">
      <c r="A3077" s="1" t="str">
        <f>"ZC33B6D5BA"</f>
        <v>ZC33B6D5BA</v>
      </c>
      <c r="B3077" s="1" t="str">
        <f t="shared" si="70"/>
        <v>02406911202</v>
      </c>
      <c r="C3077" s="1" t="s">
        <v>13</v>
      </c>
      <c r="D3077" s="1" t="s">
        <v>1312</v>
      </c>
      <c r="E3077" s="1" t="s">
        <v>6387</v>
      </c>
      <c r="F3077" s="1" t="s">
        <v>49</v>
      </c>
      <c r="G3077" s="1" t="str">
        <f>"04156880371"</f>
        <v>04156880371</v>
      </c>
      <c r="I3077" s="1" t="s">
        <v>1307</v>
      </c>
      <c r="L3077" s="1" t="s">
        <v>44</v>
      </c>
      <c r="M3077" s="1" t="s">
        <v>1314</v>
      </c>
      <c r="AG3077" s="1" t="s">
        <v>6388</v>
      </c>
      <c r="AH3077" s="2">
        <v>45082</v>
      </c>
      <c r="AI3077" s="2">
        <v>45657</v>
      </c>
      <c r="AJ3077" s="2">
        <v>45082</v>
      </c>
    </row>
    <row r="3078" spans="1:36">
      <c r="A3078" s="1" t="str">
        <f>"9730965659"</f>
        <v>9730965659</v>
      </c>
      <c r="B3078" s="1" t="str">
        <f t="shared" ref="B3078:B3141" si="71">"02406911202"</f>
        <v>02406911202</v>
      </c>
      <c r="C3078" s="1" t="s">
        <v>13</v>
      </c>
      <c r="D3078" s="1" t="s">
        <v>1253</v>
      </c>
      <c r="E3078" s="1" t="s">
        <v>1387</v>
      </c>
      <c r="F3078" s="1" t="s">
        <v>49</v>
      </c>
      <c r="G3078" s="1" t="str">
        <f>"01809291204"</f>
        <v>01809291204</v>
      </c>
      <c r="I3078" s="1" t="s">
        <v>3993</v>
      </c>
      <c r="L3078" s="1" t="s">
        <v>44</v>
      </c>
      <c r="M3078" s="1" t="s">
        <v>2739</v>
      </c>
      <c r="AG3078" s="1" t="s">
        <v>6389</v>
      </c>
      <c r="AH3078" s="2">
        <v>45016</v>
      </c>
      <c r="AI3078" s="2">
        <v>45291</v>
      </c>
      <c r="AJ3078" s="2">
        <v>45016</v>
      </c>
    </row>
    <row r="3079" spans="1:36">
      <c r="A3079" s="1" t="str">
        <f>"ZB43AC4F47"</f>
        <v>ZB43AC4F47</v>
      </c>
      <c r="B3079" s="1" t="str">
        <f t="shared" si="71"/>
        <v>02406911202</v>
      </c>
      <c r="C3079" s="1" t="s">
        <v>13</v>
      </c>
      <c r="D3079" s="1" t="s">
        <v>1253</v>
      </c>
      <c r="E3079" s="1" t="s">
        <v>1387</v>
      </c>
      <c r="F3079" s="1" t="s">
        <v>49</v>
      </c>
      <c r="G3079" s="1" t="str">
        <f>"00887261006"</f>
        <v>00887261006</v>
      </c>
      <c r="I3079" s="1" t="s">
        <v>2041</v>
      </c>
      <c r="L3079" s="1" t="s">
        <v>44</v>
      </c>
      <c r="M3079" s="1" t="s">
        <v>1255</v>
      </c>
      <c r="AG3079" s="1" t="s">
        <v>6390</v>
      </c>
      <c r="AH3079" s="2">
        <v>45029</v>
      </c>
      <c r="AI3079" s="2">
        <v>45291</v>
      </c>
      <c r="AJ3079" s="2">
        <v>45029</v>
      </c>
    </row>
    <row r="3080" spans="1:36">
      <c r="A3080" s="1" t="str">
        <f>"ZBA3AC8BB9"</f>
        <v>ZBA3AC8BB9</v>
      </c>
      <c r="B3080" s="1" t="str">
        <f t="shared" si="71"/>
        <v>02406911202</v>
      </c>
      <c r="C3080" s="1" t="s">
        <v>13</v>
      </c>
      <c r="D3080" s="1" t="s">
        <v>1253</v>
      </c>
      <c r="E3080" s="1" t="s">
        <v>1387</v>
      </c>
      <c r="F3080" s="1" t="s">
        <v>49</v>
      </c>
      <c r="G3080" s="1" t="str">
        <f>"00907371009"</f>
        <v>00907371009</v>
      </c>
      <c r="I3080" s="1" t="s">
        <v>1581</v>
      </c>
      <c r="L3080" s="1" t="s">
        <v>44</v>
      </c>
      <c r="M3080" s="1" t="s">
        <v>1255</v>
      </c>
      <c r="AG3080" s="1" t="s">
        <v>6391</v>
      </c>
      <c r="AH3080" s="2">
        <v>45030</v>
      </c>
      <c r="AI3080" s="2">
        <v>45291</v>
      </c>
      <c r="AJ3080" s="2">
        <v>45030</v>
      </c>
    </row>
    <row r="3081" spans="1:36">
      <c r="A3081" s="1" t="str">
        <f>"ZA53AD368C"</f>
        <v>ZA53AD368C</v>
      </c>
      <c r="B3081" s="1" t="str">
        <f t="shared" si="71"/>
        <v>02406911202</v>
      </c>
      <c r="C3081" s="1" t="s">
        <v>13</v>
      </c>
      <c r="D3081" s="1" t="s">
        <v>1253</v>
      </c>
      <c r="E3081" s="1" t="s">
        <v>1317</v>
      </c>
      <c r="F3081" s="1" t="s">
        <v>49</v>
      </c>
      <c r="G3081" s="1" t="str">
        <f>"00674840152"</f>
        <v>00674840152</v>
      </c>
      <c r="I3081" s="1" t="s">
        <v>190</v>
      </c>
      <c r="L3081" s="1" t="s">
        <v>44</v>
      </c>
      <c r="M3081" s="1" t="s">
        <v>1255</v>
      </c>
      <c r="AG3081" s="1" t="s">
        <v>6392</v>
      </c>
      <c r="AH3081" s="2">
        <v>45034</v>
      </c>
      <c r="AI3081" s="2">
        <v>45291</v>
      </c>
      <c r="AJ3081" s="2">
        <v>45034</v>
      </c>
    </row>
    <row r="3082" spans="1:36">
      <c r="A3082" s="1" t="str">
        <f>"ZDD3AF61E1"</f>
        <v>ZDD3AF61E1</v>
      </c>
      <c r="B3082" s="1" t="str">
        <f t="shared" si="71"/>
        <v>02406911202</v>
      </c>
      <c r="C3082" s="1" t="s">
        <v>13</v>
      </c>
      <c r="D3082" s="1" t="s">
        <v>1312</v>
      </c>
      <c r="E3082" s="1" t="s">
        <v>4472</v>
      </c>
      <c r="F3082" s="1" t="s">
        <v>49</v>
      </c>
      <c r="G3082" s="1" t="str">
        <f>"01900221209"</f>
        <v>01900221209</v>
      </c>
      <c r="I3082" s="1" t="s">
        <v>4162</v>
      </c>
      <c r="L3082" s="1" t="s">
        <v>44</v>
      </c>
      <c r="M3082" s="1" t="s">
        <v>1314</v>
      </c>
      <c r="AG3082" s="1" t="s">
        <v>6393</v>
      </c>
      <c r="AH3082" s="2">
        <v>45044</v>
      </c>
      <c r="AI3082" s="2">
        <v>45291</v>
      </c>
      <c r="AJ3082" s="2">
        <v>45044</v>
      </c>
    </row>
    <row r="3083" spans="1:36">
      <c r="A3083" s="1" t="str">
        <f>"Z273ADC60D"</f>
        <v>Z273ADC60D</v>
      </c>
      <c r="B3083" s="1" t="str">
        <f t="shared" si="71"/>
        <v>02406911202</v>
      </c>
      <c r="C3083" s="1" t="s">
        <v>13</v>
      </c>
      <c r="D3083" s="1" t="s">
        <v>1253</v>
      </c>
      <c r="E3083" s="1" t="s">
        <v>1254</v>
      </c>
      <c r="F3083" s="1" t="s">
        <v>49</v>
      </c>
      <c r="G3083" s="1" t="str">
        <f>"01749330047"</f>
        <v>01749330047</v>
      </c>
      <c r="I3083" s="1" t="s">
        <v>3147</v>
      </c>
      <c r="L3083" s="1" t="s">
        <v>44</v>
      </c>
      <c r="M3083" s="1" t="s">
        <v>1255</v>
      </c>
      <c r="AG3083" s="1" t="s">
        <v>78</v>
      </c>
      <c r="AH3083" s="2">
        <v>45054</v>
      </c>
      <c r="AI3083" s="2">
        <v>45291</v>
      </c>
      <c r="AJ3083" s="2">
        <v>45054</v>
      </c>
    </row>
    <row r="3084" spans="1:36">
      <c r="A3084" s="1" t="str">
        <f>"Z6D3B15FEE"</f>
        <v>Z6D3B15FEE</v>
      </c>
      <c r="B3084" s="1" t="str">
        <f t="shared" si="71"/>
        <v>02406911202</v>
      </c>
      <c r="C3084" s="1" t="s">
        <v>13</v>
      </c>
      <c r="D3084" s="1" t="s">
        <v>1253</v>
      </c>
      <c r="E3084" s="1" t="s">
        <v>1262</v>
      </c>
      <c r="F3084" s="1" t="s">
        <v>49</v>
      </c>
      <c r="G3084" s="1" t="str">
        <f>"00907371009"</f>
        <v>00907371009</v>
      </c>
      <c r="I3084" s="1" t="s">
        <v>1581</v>
      </c>
      <c r="L3084" s="1" t="s">
        <v>44</v>
      </c>
      <c r="M3084" s="1" t="s">
        <v>1255</v>
      </c>
      <c r="AG3084" s="1" t="s">
        <v>6394</v>
      </c>
      <c r="AH3084" s="2">
        <v>45056</v>
      </c>
      <c r="AI3084" s="2">
        <v>45291</v>
      </c>
      <c r="AJ3084" s="2">
        <v>45056</v>
      </c>
    </row>
    <row r="3085" spans="1:36">
      <c r="A3085" s="1" t="str">
        <f>"Z753B2F319"</f>
        <v>Z753B2F319</v>
      </c>
      <c r="B3085" s="1" t="str">
        <f t="shared" si="71"/>
        <v>02406911202</v>
      </c>
      <c r="C3085" s="1" t="s">
        <v>13</v>
      </c>
      <c r="D3085" s="1" t="s">
        <v>205</v>
      </c>
      <c r="E3085" s="1" t="s">
        <v>6395</v>
      </c>
      <c r="F3085" s="1" t="s">
        <v>49</v>
      </c>
      <c r="G3085" s="1" t="str">
        <f>"01314720556"</f>
        <v>01314720556</v>
      </c>
      <c r="I3085" s="1" t="s">
        <v>6396</v>
      </c>
      <c r="L3085" s="1" t="s">
        <v>44</v>
      </c>
      <c r="M3085" s="1" t="s">
        <v>6397</v>
      </c>
      <c r="AG3085" s="1" t="s">
        <v>124</v>
      </c>
      <c r="AH3085" s="2">
        <v>44927</v>
      </c>
      <c r="AI3085" s="2">
        <v>45291</v>
      </c>
      <c r="AJ3085" s="2">
        <v>44927</v>
      </c>
    </row>
    <row r="3086" spans="1:36">
      <c r="A3086" s="1" t="str">
        <f>"Z003B2F3EB"</f>
        <v>Z003B2F3EB</v>
      </c>
      <c r="B3086" s="1" t="str">
        <f t="shared" si="71"/>
        <v>02406911202</v>
      </c>
      <c r="C3086" s="1" t="s">
        <v>13</v>
      </c>
      <c r="D3086" s="1" t="s">
        <v>205</v>
      </c>
      <c r="E3086" s="1" t="s">
        <v>6398</v>
      </c>
      <c r="F3086" s="1" t="s">
        <v>49</v>
      </c>
      <c r="G3086" s="1" t="str">
        <f>"04079881209"</f>
        <v>04079881209</v>
      </c>
      <c r="I3086" s="1" t="s">
        <v>6399</v>
      </c>
      <c r="L3086" s="1" t="s">
        <v>44</v>
      </c>
      <c r="M3086" s="1" t="s">
        <v>6400</v>
      </c>
      <c r="AG3086" s="1" t="s">
        <v>6401</v>
      </c>
      <c r="AH3086" s="2">
        <v>44927</v>
      </c>
      <c r="AI3086" s="2">
        <v>45291</v>
      </c>
      <c r="AJ3086" s="2">
        <v>44927</v>
      </c>
    </row>
    <row r="3087" spans="1:36">
      <c r="A3087" s="1" t="str">
        <f>"ZDE3B323FD"</f>
        <v>ZDE3B323FD</v>
      </c>
      <c r="B3087" s="1" t="str">
        <f t="shared" si="71"/>
        <v>02406911202</v>
      </c>
      <c r="C3087" s="1" t="s">
        <v>13</v>
      </c>
      <c r="D3087" s="1" t="s">
        <v>205</v>
      </c>
      <c r="E3087" s="1" t="s">
        <v>6402</v>
      </c>
      <c r="F3087" s="1" t="s">
        <v>49</v>
      </c>
      <c r="G3087" s="1" t="str">
        <f>"03112611201"</f>
        <v>03112611201</v>
      </c>
      <c r="I3087" s="1" t="s">
        <v>6403</v>
      </c>
      <c r="L3087" s="1" t="s">
        <v>44</v>
      </c>
      <c r="M3087" s="1" t="s">
        <v>6404</v>
      </c>
      <c r="AG3087" s="1" t="s">
        <v>6405</v>
      </c>
      <c r="AH3087" s="2">
        <v>44927</v>
      </c>
      <c r="AI3087" s="2">
        <v>45291</v>
      </c>
      <c r="AJ3087" s="2">
        <v>44927</v>
      </c>
    </row>
    <row r="3088" spans="1:36">
      <c r="A3088" s="1" t="str">
        <f>"ZD63B324C6"</f>
        <v>ZD63B324C6</v>
      </c>
      <c r="B3088" s="1" t="str">
        <f t="shared" si="71"/>
        <v>02406911202</v>
      </c>
      <c r="C3088" s="1" t="s">
        <v>13</v>
      </c>
      <c r="D3088" s="1" t="s">
        <v>205</v>
      </c>
      <c r="E3088" s="1" t="s">
        <v>6406</v>
      </c>
      <c r="F3088" s="1" t="s">
        <v>49</v>
      </c>
      <c r="G3088" s="1" t="str">
        <f>"02916461201"</f>
        <v>02916461201</v>
      </c>
      <c r="I3088" s="1" t="s">
        <v>6407</v>
      </c>
      <c r="L3088" s="1" t="s">
        <v>44</v>
      </c>
      <c r="M3088" s="1" t="s">
        <v>6408</v>
      </c>
      <c r="AG3088" s="1" t="s">
        <v>6409</v>
      </c>
      <c r="AH3088" s="2">
        <v>44927</v>
      </c>
      <c r="AI3088" s="2">
        <v>45291</v>
      </c>
      <c r="AJ3088" s="2">
        <v>44927</v>
      </c>
    </row>
    <row r="3089" spans="1:36">
      <c r="A3089" s="1" t="str">
        <f>"Z0E3B34A0D"</f>
        <v>Z0E3B34A0D</v>
      </c>
      <c r="B3089" s="1" t="str">
        <f t="shared" si="71"/>
        <v>02406911202</v>
      </c>
      <c r="C3089" s="1" t="s">
        <v>13</v>
      </c>
      <c r="D3089" s="1" t="s">
        <v>205</v>
      </c>
      <c r="E3089" s="1" t="s">
        <v>6410</v>
      </c>
      <c r="F3089" s="1" t="s">
        <v>49</v>
      </c>
      <c r="G3089" s="1" t="str">
        <f>"03988791202"</f>
        <v>03988791202</v>
      </c>
      <c r="I3089" s="1" t="s">
        <v>6411</v>
      </c>
      <c r="L3089" s="1" t="s">
        <v>44</v>
      </c>
      <c r="M3089" s="1" t="s">
        <v>6412</v>
      </c>
      <c r="AG3089" s="1" t="s">
        <v>6413</v>
      </c>
      <c r="AH3089" s="2">
        <v>44927</v>
      </c>
      <c r="AI3089" s="2">
        <v>45291</v>
      </c>
      <c r="AJ3089" s="2">
        <v>44927</v>
      </c>
    </row>
    <row r="3090" spans="1:36">
      <c r="A3090" s="1" t="str">
        <f>"Z993B34A42"</f>
        <v>Z993B34A42</v>
      </c>
      <c r="B3090" s="1" t="str">
        <f t="shared" si="71"/>
        <v>02406911202</v>
      </c>
      <c r="C3090" s="1" t="s">
        <v>13</v>
      </c>
      <c r="D3090" s="1" t="s">
        <v>205</v>
      </c>
      <c r="E3090" s="1" t="s">
        <v>6414</v>
      </c>
      <c r="F3090" s="1" t="s">
        <v>49</v>
      </c>
      <c r="G3090" s="1" t="str">
        <f>"03990091203"</f>
        <v>03990091203</v>
      </c>
      <c r="I3090" s="1" t="s">
        <v>6415</v>
      </c>
      <c r="L3090" s="1" t="s">
        <v>44</v>
      </c>
      <c r="M3090" s="1" t="s">
        <v>6416</v>
      </c>
      <c r="AG3090" s="1" t="s">
        <v>6417</v>
      </c>
      <c r="AH3090" s="2">
        <v>44927</v>
      </c>
      <c r="AI3090" s="2">
        <v>45291</v>
      </c>
      <c r="AJ3090" s="2">
        <v>44927</v>
      </c>
    </row>
    <row r="3091" spans="1:36">
      <c r="A3091" s="1" t="str">
        <f>"Z5C3B34A7C"</f>
        <v>Z5C3B34A7C</v>
      </c>
      <c r="B3091" s="1" t="str">
        <f t="shared" si="71"/>
        <v>02406911202</v>
      </c>
      <c r="C3091" s="1" t="s">
        <v>13</v>
      </c>
      <c r="D3091" s="1" t="s">
        <v>205</v>
      </c>
      <c r="E3091" s="1" t="s">
        <v>6418</v>
      </c>
      <c r="F3091" s="1" t="s">
        <v>49</v>
      </c>
      <c r="G3091" s="1" t="str">
        <f>"03993751209"</f>
        <v>03993751209</v>
      </c>
      <c r="I3091" s="1" t="s">
        <v>6419</v>
      </c>
      <c r="L3091" s="1" t="s">
        <v>44</v>
      </c>
      <c r="M3091" s="1" t="s">
        <v>6420</v>
      </c>
      <c r="AG3091" s="1" t="s">
        <v>6421</v>
      </c>
      <c r="AH3091" s="2">
        <v>44927</v>
      </c>
      <c r="AI3091" s="2">
        <v>45291</v>
      </c>
      <c r="AJ3091" s="2">
        <v>44927</v>
      </c>
    </row>
    <row r="3092" spans="1:36">
      <c r="A3092" s="1" t="str">
        <f>"ZB43AF619D"</f>
        <v>ZB43AF619D</v>
      </c>
      <c r="B3092" s="1" t="str">
        <f t="shared" si="71"/>
        <v>02406911202</v>
      </c>
      <c r="C3092" s="1" t="s">
        <v>13</v>
      </c>
      <c r="D3092" s="1" t="s">
        <v>205</v>
      </c>
      <c r="E3092" s="1" t="s">
        <v>6422</v>
      </c>
      <c r="F3092" s="1" t="s">
        <v>49</v>
      </c>
      <c r="G3092" s="1" t="str">
        <f>"03699741207"</f>
        <v>03699741207</v>
      </c>
      <c r="I3092" s="1" t="s">
        <v>6423</v>
      </c>
      <c r="L3092" s="1" t="s">
        <v>44</v>
      </c>
      <c r="M3092" s="1" t="s">
        <v>917</v>
      </c>
      <c r="AG3092" s="1" t="s">
        <v>124</v>
      </c>
      <c r="AH3092" s="2">
        <v>45098</v>
      </c>
      <c r="AI3092" s="2">
        <v>45230</v>
      </c>
      <c r="AJ3092" s="2">
        <v>45098</v>
      </c>
    </row>
    <row r="3093" spans="1:36">
      <c r="A3093" s="1" t="str">
        <f>"Z783B1F9E3"</f>
        <v>Z783B1F9E3</v>
      </c>
      <c r="B3093" s="1" t="str">
        <f t="shared" si="71"/>
        <v>02406911202</v>
      </c>
      <c r="C3093" s="1" t="s">
        <v>13</v>
      </c>
      <c r="D3093" s="1" t="s">
        <v>205</v>
      </c>
      <c r="E3093" s="1" t="s">
        <v>6424</v>
      </c>
      <c r="F3093" s="1" t="s">
        <v>49</v>
      </c>
      <c r="G3093" s="1" t="str">
        <f>"02977621206"</f>
        <v>02977621206</v>
      </c>
      <c r="I3093" s="1" t="s">
        <v>6425</v>
      </c>
      <c r="L3093" s="1" t="s">
        <v>44</v>
      </c>
      <c r="M3093" s="1" t="s">
        <v>6426</v>
      </c>
      <c r="AG3093" s="1" t="s">
        <v>6427</v>
      </c>
      <c r="AH3093" s="2">
        <v>44927</v>
      </c>
      <c r="AI3093" s="2">
        <v>45291</v>
      </c>
      <c r="AJ3093" s="2">
        <v>44927</v>
      </c>
    </row>
    <row r="3094" spans="1:36">
      <c r="A3094" s="1" t="str">
        <f>"Z603B308E4"</f>
        <v>Z603B308E4</v>
      </c>
      <c r="B3094" s="1" t="str">
        <f t="shared" si="71"/>
        <v>02406911202</v>
      </c>
      <c r="C3094" s="1" t="s">
        <v>13</v>
      </c>
      <c r="D3094" s="1" t="s">
        <v>1253</v>
      </c>
      <c r="E3094" s="1" t="s">
        <v>1270</v>
      </c>
      <c r="F3094" s="1" t="s">
        <v>49</v>
      </c>
      <c r="G3094" s="1" t="str">
        <f>"13209130155"</f>
        <v>13209130155</v>
      </c>
      <c r="I3094" s="1" t="s">
        <v>2474</v>
      </c>
      <c r="L3094" s="1" t="s">
        <v>44</v>
      </c>
      <c r="M3094" s="1" t="s">
        <v>153</v>
      </c>
      <c r="AG3094" s="1" t="s">
        <v>6428</v>
      </c>
      <c r="AH3094" s="2">
        <v>45063</v>
      </c>
      <c r="AI3094" s="2">
        <v>45291</v>
      </c>
      <c r="AJ3094" s="2">
        <v>45063</v>
      </c>
    </row>
    <row r="3095" spans="1:36">
      <c r="A3095" s="1" t="str">
        <f>"9722618E2D"</f>
        <v>9722618E2D</v>
      </c>
      <c r="B3095" s="1" t="str">
        <f t="shared" si="71"/>
        <v>02406911202</v>
      </c>
      <c r="C3095" s="1" t="s">
        <v>13</v>
      </c>
      <c r="D3095" s="1" t="s">
        <v>37</v>
      </c>
      <c r="E3095" s="1" t="s">
        <v>6429</v>
      </c>
      <c r="F3095" s="1" t="s">
        <v>117</v>
      </c>
      <c r="G3095" s="1" t="str">
        <f>"05994810488"</f>
        <v>05994810488</v>
      </c>
      <c r="I3095" s="1" t="s">
        <v>3216</v>
      </c>
      <c r="L3095" s="1" t="s">
        <v>44</v>
      </c>
      <c r="M3095" s="1" t="s">
        <v>6430</v>
      </c>
      <c r="AG3095" s="1" t="s">
        <v>124</v>
      </c>
      <c r="AH3095" s="2">
        <v>45017</v>
      </c>
      <c r="AI3095" s="2">
        <v>46022</v>
      </c>
      <c r="AJ3095" s="2">
        <v>45017</v>
      </c>
    </row>
    <row r="3096" spans="1:36">
      <c r="A3096" s="1" t="str">
        <f>"ZB53B5FB3B"</f>
        <v>ZB53B5FB3B</v>
      </c>
      <c r="B3096" s="1" t="str">
        <f t="shared" si="71"/>
        <v>02406911202</v>
      </c>
      <c r="C3096" s="1" t="s">
        <v>13</v>
      </c>
      <c r="D3096" s="1" t="s">
        <v>1741</v>
      </c>
      <c r="E3096" s="1" t="s">
        <v>6431</v>
      </c>
      <c r="F3096" s="1" t="s">
        <v>49</v>
      </c>
      <c r="G3096" s="1" t="str">
        <f>"08539010010"</f>
        <v>08539010010</v>
      </c>
      <c r="I3096" s="1" t="s">
        <v>6432</v>
      </c>
      <c r="L3096" s="1" t="s">
        <v>44</v>
      </c>
      <c r="M3096" s="1" t="s">
        <v>2391</v>
      </c>
      <c r="AG3096" s="1" t="s">
        <v>124</v>
      </c>
      <c r="AH3096" s="2">
        <v>44927</v>
      </c>
      <c r="AI3096" s="2">
        <v>45291</v>
      </c>
      <c r="AJ3096" s="2">
        <v>44927</v>
      </c>
    </row>
    <row r="3097" spans="1:36">
      <c r="A3097" s="1" t="str">
        <f>"Z493AA7453"</f>
        <v>Z493AA7453</v>
      </c>
      <c r="B3097" s="1" t="str">
        <f t="shared" si="71"/>
        <v>02406911202</v>
      </c>
      <c r="C3097" s="1" t="s">
        <v>13</v>
      </c>
      <c r="D3097" s="1" t="s">
        <v>1253</v>
      </c>
      <c r="E3097" s="1" t="s">
        <v>6433</v>
      </c>
      <c r="F3097" s="1" t="s">
        <v>49</v>
      </c>
      <c r="G3097" s="1" t="str">
        <f>"02803471206"</f>
        <v>02803471206</v>
      </c>
      <c r="I3097" s="1" t="s">
        <v>1638</v>
      </c>
      <c r="L3097" s="1" t="s">
        <v>44</v>
      </c>
      <c r="M3097" s="1" t="s">
        <v>1255</v>
      </c>
      <c r="AG3097" s="1" t="s">
        <v>1684</v>
      </c>
      <c r="AH3097" s="2">
        <v>45020</v>
      </c>
      <c r="AI3097" s="2">
        <v>45291</v>
      </c>
      <c r="AJ3097" s="2">
        <v>45020</v>
      </c>
    </row>
    <row r="3098" spans="1:36">
      <c r="A3098" s="1" t="str">
        <f>"Z873AA745E"</f>
        <v>Z873AA745E</v>
      </c>
      <c r="B3098" s="1" t="str">
        <f t="shared" si="71"/>
        <v>02406911202</v>
      </c>
      <c r="C3098" s="1" t="s">
        <v>13</v>
      </c>
      <c r="D3098" s="1" t="s">
        <v>1253</v>
      </c>
      <c r="E3098" s="1" t="s">
        <v>1260</v>
      </c>
      <c r="F3098" s="1" t="s">
        <v>49</v>
      </c>
      <c r="G3098" s="1" t="str">
        <f>"02658740614"</f>
        <v>02658740614</v>
      </c>
      <c r="I3098" s="1" t="s">
        <v>2729</v>
      </c>
      <c r="L3098" s="1" t="s">
        <v>44</v>
      </c>
      <c r="M3098" s="1" t="s">
        <v>1255</v>
      </c>
      <c r="AG3098" s="1" t="s">
        <v>6434</v>
      </c>
      <c r="AH3098" s="2">
        <v>45020</v>
      </c>
      <c r="AI3098" s="2">
        <v>45291</v>
      </c>
      <c r="AJ3098" s="2">
        <v>45020</v>
      </c>
    </row>
    <row r="3099" spans="1:36">
      <c r="A3099" s="1" t="str">
        <f>"97578955B0"</f>
        <v>97578955B0</v>
      </c>
      <c r="B3099" s="1" t="str">
        <f t="shared" si="71"/>
        <v>02406911202</v>
      </c>
      <c r="C3099" s="1" t="s">
        <v>13</v>
      </c>
      <c r="D3099" s="1" t="s">
        <v>1312</v>
      </c>
      <c r="E3099" s="1" t="s">
        <v>6435</v>
      </c>
      <c r="F3099" s="1" t="s">
        <v>49</v>
      </c>
      <c r="G3099" s="1" t="str">
        <f>"03717020964"</f>
        <v>03717020964</v>
      </c>
      <c r="I3099" s="1" t="s">
        <v>879</v>
      </c>
      <c r="L3099" s="1" t="s">
        <v>44</v>
      </c>
      <c r="M3099" s="1" t="s">
        <v>6436</v>
      </c>
      <c r="AG3099" s="1" t="s">
        <v>6437</v>
      </c>
      <c r="AH3099" s="2">
        <v>45033</v>
      </c>
      <c r="AI3099" s="2">
        <v>45412</v>
      </c>
      <c r="AJ3099" s="2">
        <v>45033</v>
      </c>
    </row>
    <row r="3100" spans="1:36">
      <c r="A3100" s="1" t="str">
        <f>"Z813ACF7E6"</f>
        <v>Z813ACF7E6</v>
      </c>
      <c r="B3100" s="1" t="str">
        <f t="shared" si="71"/>
        <v>02406911202</v>
      </c>
      <c r="C3100" s="1" t="s">
        <v>13</v>
      </c>
      <c r="D3100" s="1" t="s">
        <v>1253</v>
      </c>
      <c r="E3100" s="1" t="s">
        <v>1254</v>
      </c>
      <c r="F3100" s="1" t="s">
        <v>49</v>
      </c>
      <c r="G3100" s="1" t="str">
        <f>"00847380961"</f>
        <v>00847380961</v>
      </c>
      <c r="I3100" s="1" t="s">
        <v>1503</v>
      </c>
      <c r="L3100" s="1" t="s">
        <v>44</v>
      </c>
      <c r="M3100" s="1" t="s">
        <v>1255</v>
      </c>
      <c r="AG3100" s="1" t="s">
        <v>1255</v>
      </c>
      <c r="AH3100" s="2">
        <v>45033</v>
      </c>
      <c r="AI3100" s="2">
        <v>45291</v>
      </c>
      <c r="AJ3100" s="2">
        <v>45033</v>
      </c>
    </row>
    <row r="3101" spans="1:36">
      <c r="A3101" s="1" t="str">
        <f>"Z0A3B0AE41"</f>
        <v>Z0A3B0AE41</v>
      </c>
      <c r="B3101" s="1" t="str">
        <f t="shared" si="71"/>
        <v>02406911202</v>
      </c>
      <c r="C3101" s="1" t="s">
        <v>13</v>
      </c>
      <c r="D3101" s="1" t="s">
        <v>205</v>
      </c>
      <c r="E3101" s="1" t="s">
        <v>6438</v>
      </c>
      <c r="F3101" s="1" t="s">
        <v>49</v>
      </c>
      <c r="G3101" s="1" t="str">
        <f>"02565380132"</f>
        <v>02565380132</v>
      </c>
      <c r="I3101" s="1" t="s">
        <v>6439</v>
      </c>
      <c r="L3101" s="1" t="s">
        <v>44</v>
      </c>
      <c r="M3101" s="1" t="s">
        <v>1438</v>
      </c>
      <c r="AG3101" s="1" t="s">
        <v>124</v>
      </c>
      <c r="AH3101" s="2">
        <v>44927</v>
      </c>
      <c r="AI3101" s="2">
        <v>45291</v>
      </c>
      <c r="AJ3101" s="2">
        <v>44927</v>
      </c>
    </row>
    <row r="3102" spans="1:36">
      <c r="A3102" s="1" t="str">
        <f>"ZA93B1B7AD"</f>
        <v>ZA93B1B7AD</v>
      </c>
      <c r="B3102" s="1" t="str">
        <f t="shared" si="71"/>
        <v>02406911202</v>
      </c>
      <c r="C3102" s="1" t="s">
        <v>13</v>
      </c>
      <c r="D3102" s="1" t="s">
        <v>1253</v>
      </c>
      <c r="E3102" s="1" t="s">
        <v>1262</v>
      </c>
      <c r="F3102" s="1" t="s">
        <v>49</v>
      </c>
      <c r="G3102" s="1" t="str">
        <f>"11654150157"</f>
        <v>11654150157</v>
      </c>
      <c r="I3102" s="1" t="s">
        <v>1468</v>
      </c>
      <c r="L3102" s="1" t="s">
        <v>44</v>
      </c>
      <c r="M3102" s="1" t="s">
        <v>1255</v>
      </c>
      <c r="AG3102" s="1" t="s">
        <v>6440</v>
      </c>
      <c r="AH3102" s="2">
        <v>45057</v>
      </c>
      <c r="AI3102" s="2">
        <v>45291</v>
      </c>
      <c r="AJ3102" s="2">
        <v>45057</v>
      </c>
    </row>
    <row r="3103" spans="1:36">
      <c r="A3103" s="1" t="str">
        <f>"Z0B3B30983"</f>
        <v>Z0B3B30983</v>
      </c>
      <c r="B3103" s="1" t="str">
        <f t="shared" si="71"/>
        <v>02406911202</v>
      </c>
      <c r="C3103" s="1" t="s">
        <v>13</v>
      </c>
      <c r="D3103" s="1" t="s">
        <v>1253</v>
      </c>
      <c r="E3103" s="1" t="s">
        <v>1262</v>
      </c>
      <c r="F3103" s="1" t="s">
        <v>49</v>
      </c>
      <c r="G3103" s="1" t="str">
        <f>"02052851009"</f>
        <v>02052851009</v>
      </c>
      <c r="I3103" s="1" t="s">
        <v>6441</v>
      </c>
      <c r="L3103" s="1" t="s">
        <v>44</v>
      </c>
      <c r="M3103" s="1" t="s">
        <v>153</v>
      </c>
      <c r="AG3103" s="1" t="s">
        <v>4468</v>
      </c>
      <c r="AH3103" s="2">
        <v>45063</v>
      </c>
      <c r="AI3103" s="2">
        <v>45291</v>
      </c>
      <c r="AJ3103" s="2">
        <v>45063</v>
      </c>
    </row>
    <row r="3104" spans="1:36">
      <c r="A3104" s="1" t="str">
        <f>"Z263B5B455"</f>
        <v>Z263B5B455</v>
      </c>
      <c r="B3104" s="1" t="str">
        <f t="shared" si="71"/>
        <v>02406911202</v>
      </c>
      <c r="C3104" s="1" t="s">
        <v>13</v>
      </c>
      <c r="D3104" s="1" t="s">
        <v>1312</v>
      </c>
      <c r="E3104" s="1" t="s">
        <v>4712</v>
      </c>
      <c r="F3104" s="1" t="s">
        <v>49</v>
      </c>
      <c r="G3104" s="1" t="str">
        <f>"01296201005"</f>
        <v>01296201005</v>
      </c>
      <c r="I3104" s="1" t="s">
        <v>1634</v>
      </c>
      <c r="L3104" s="1" t="s">
        <v>44</v>
      </c>
      <c r="M3104" s="1" t="s">
        <v>1314</v>
      </c>
      <c r="AG3104" s="1" t="s">
        <v>6442</v>
      </c>
      <c r="AH3104" s="2">
        <v>45075</v>
      </c>
      <c r="AI3104" s="2">
        <v>46022</v>
      </c>
      <c r="AJ3104" s="2">
        <v>45075</v>
      </c>
    </row>
    <row r="3105" spans="1:36">
      <c r="A3105" s="1" t="str">
        <f>"Z3E3B6C482"</f>
        <v>Z3E3B6C482</v>
      </c>
      <c r="B3105" s="1" t="str">
        <f t="shared" si="71"/>
        <v>02406911202</v>
      </c>
      <c r="C3105" s="1" t="s">
        <v>13</v>
      </c>
      <c r="D3105" s="1" t="s">
        <v>1253</v>
      </c>
      <c r="E3105" s="1" t="s">
        <v>1317</v>
      </c>
      <c r="F3105" s="1" t="s">
        <v>49</v>
      </c>
      <c r="G3105" s="1" t="str">
        <f>"03692250966"</f>
        <v>03692250966</v>
      </c>
      <c r="I3105" s="1" t="s">
        <v>1318</v>
      </c>
      <c r="L3105" s="1" t="s">
        <v>44</v>
      </c>
      <c r="M3105" s="1" t="s">
        <v>1255</v>
      </c>
      <c r="AG3105" s="1" t="s">
        <v>1319</v>
      </c>
      <c r="AH3105" s="2">
        <v>45082</v>
      </c>
      <c r="AI3105" s="2">
        <v>45291</v>
      </c>
      <c r="AJ3105" s="2">
        <v>45082</v>
      </c>
    </row>
    <row r="3106" spans="1:36">
      <c r="A3106" s="1" t="str">
        <f>"Z2B3B5A8EF"</f>
        <v>Z2B3B5A8EF</v>
      </c>
      <c r="B3106" s="1" t="str">
        <f t="shared" si="71"/>
        <v>02406911202</v>
      </c>
      <c r="C3106" s="1" t="s">
        <v>13</v>
      </c>
      <c r="D3106" s="1" t="s">
        <v>1741</v>
      </c>
      <c r="E3106" s="1" t="s">
        <v>6443</v>
      </c>
      <c r="F3106" s="1" t="s">
        <v>49</v>
      </c>
      <c r="G3106" s="1" t="str">
        <f>"06734220962"</f>
        <v>06734220962</v>
      </c>
      <c r="I3106" s="1" t="s">
        <v>2320</v>
      </c>
      <c r="L3106" s="1" t="s">
        <v>44</v>
      </c>
      <c r="M3106" s="1" t="s">
        <v>6444</v>
      </c>
      <c r="AG3106" s="1" t="s">
        <v>124</v>
      </c>
      <c r="AH3106" s="2">
        <v>45075</v>
      </c>
      <c r="AI3106" s="2">
        <v>45291</v>
      </c>
      <c r="AJ3106" s="2">
        <v>45075</v>
      </c>
    </row>
    <row r="3107" spans="1:36">
      <c r="A3107" s="1" t="str">
        <f>"ZDA3B6D9F7"</f>
        <v>ZDA3B6D9F7</v>
      </c>
      <c r="B3107" s="1" t="str">
        <f t="shared" si="71"/>
        <v>02406911202</v>
      </c>
      <c r="C3107" s="1" t="s">
        <v>13</v>
      </c>
      <c r="D3107" s="1" t="s">
        <v>1257</v>
      </c>
      <c r="E3107" s="1" t="s">
        <v>6445</v>
      </c>
      <c r="F3107" s="1" t="s">
        <v>49</v>
      </c>
      <c r="G3107" s="1" t="str">
        <f>"03281501217"</f>
        <v>03281501217</v>
      </c>
      <c r="I3107" s="1" t="s">
        <v>6754</v>
      </c>
      <c r="L3107" s="1" t="s">
        <v>44</v>
      </c>
      <c r="M3107" s="1" t="s">
        <v>930</v>
      </c>
      <c r="AG3107" s="1" t="s">
        <v>6446</v>
      </c>
      <c r="AH3107" s="2">
        <v>45082</v>
      </c>
      <c r="AI3107" s="2">
        <v>45291</v>
      </c>
      <c r="AJ3107" s="2">
        <v>45082</v>
      </c>
    </row>
    <row r="3108" spans="1:36">
      <c r="A3108" s="1" t="str">
        <f>"Z973B6E64D"</f>
        <v>Z973B6E64D</v>
      </c>
      <c r="B3108" s="1" t="str">
        <f t="shared" si="71"/>
        <v>02406911202</v>
      </c>
      <c r="C3108" s="1" t="s">
        <v>13</v>
      </c>
      <c r="D3108" s="1" t="s">
        <v>1257</v>
      </c>
      <c r="E3108" s="1" t="s">
        <v>6447</v>
      </c>
      <c r="F3108" s="1" t="s">
        <v>49</v>
      </c>
      <c r="G3108" s="1" t="str">
        <f>"11861240155"</f>
        <v>11861240155</v>
      </c>
      <c r="I3108" s="1" t="s">
        <v>4390</v>
      </c>
      <c r="L3108" s="1" t="s">
        <v>44</v>
      </c>
      <c r="M3108" s="1" t="s">
        <v>153</v>
      </c>
      <c r="AG3108" s="1" t="s">
        <v>6448</v>
      </c>
      <c r="AH3108" s="2">
        <v>45082</v>
      </c>
      <c r="AI3108" s="2">
        <v>45291</v>
      </c>
      <c r="AJ3108" s="2">
        <v>45082</v>
      </c>
    </row>
    <row r="3109" spans="1:36">
      <c r="A3109" s="1" t="str">
        <f>"Z1F3A8C076"</f>
        <v>Z1F3A8C076</v>
      </c>
      <c r="B3109" s="1" t="str">
        <f t="shared" si="71"/>
        <v>02406911202</v>
      </c>
      <c r="C3109" s="1" t="s">
        <v>13</v>
      </c>
      <c r="D3109" s="1" t="s">
        <v>1253</v>
      </c>
      <c r="E3109" s="1" t="s">
        <v>1262</v>
      </c>
      <c r="F3109" s="1" t="s">
        <v>49</v>
      </c>
      <c r="G3109" s="1" t="str">
        <f>"02158490595"</f>
        <v>02158490595</v>
      </c>
      <c r="I3109" s="1" t="s">
        <v>2067</v>
      </c>
      <c r="L3109" s="1" t="s">
        <v>44</v>
      </c>
      <c r="M3109" s="1" t="s">
        <v>1255</v>
      </c>
      <c r="AG3109" s="1" t="s">
        <v>6449</v>
      </c>
      <c r="AH3109" s="2">
        <v>45012</v>
      </c>
      <c r="AI3109" s="2">
        <v>45291</v>
      </c>
      <c r="AJ3109" s="2">
        <v>45012</v>
      </c>
    </row>
    <row r="3110" spans="1:36">
      <c r="A3110" s="1" t="str">
        <f>"9575959B58"</f>
        <v>9575959B58</v>
      </c>
      <c r="B3110" s="1" t="str">
        <f t="shared" si="71"/>
        <v>02406911202</v>
      </c>
      <c r="C3110" s="1" t="s">
        <v>13</v>
      </c>
      <c r="D3110" s="1" t="s">
        <v>37</v>
      </c>
      <c r="E3110" s="1" t="s">
        <v>6450</v>
      </c>
      <c r="F3110" s="1" t="s">
        <v>39</v>
      </c>
      <c r="G3110" s="1" t="str">
        <f>"02169281207"</f>
        <v>02169281207</v>
      </c>
      <c r="I3110" s="1" t="s">
        <v>1524</v>
      </c>
      <c r="L3110" s="1" t="s">
        <v>44</v>
      </c>
      <c r="M3110" s="1" t="s">
        <v>6451</v>
      </c>
      <c r="AG3110" s="1" t="s">
        <v>6452</v>
      </c>
      <c r="AH3110" s="2">
        <v>44959</v>
      </c>
      <c r="AI3110" s="2">
        <v>46784</v>
      </c>
      <c r="AJ3110" s="2">
        <v>44959</v>
      </c>
    </row>
    <row r="3111" spans="1:36">
      <c r="A3111" s="1" t="str">
        <f>"ZB13AB2177"</f>
        <v>ZB13AB2177</v>
      </c>
      <c r="B3111" s="1" t="str">
        <f t="shared" si="71"/>
        <v>02406911202</v>
      </c>
      <c r="C3111" s="1" t="s">
        <v>13</v>
      </c>
      <c r="D3111" s="1" t="s">
        <v>1253</v>
      </c>
      <c r="E3111" s="1" t="s">
        <v>1260</v>
      </c>
      <c r="F3111" s="1" t="s">
        <v>49</v>
      </c>
      <c r="G3111" s="1" t="str">
        <f>"06032681006"</f>
        <v>06032681006</v>
      </c>
      <c r="I3111" s="1" t="s">
        <v>1351</v>
      </c>
      <c r="L3111" s="1" t="s">
        <v>44</v>
      </c>
      <c r="M3111" s="1" t="s">
        <v>1255</v>
      </c>
      <c r="AG3111" s="1" t="s">
        <v>6453</v>
      </c>
      <c r="AH3111" s="2">
        <v>45022</v>
      </c>
      <c r="AI3111" s="2">
        <v>45291</v>
      </c>
      <c r="AJ3111" s="2">
        <v>45022</v>
      </c>
    </row>
    <row r="3112" spans="1:36">
      <c r="A3112" s="1" t="str">
        <f>"Z3A3AB21BF"</f>
        <v>Z3A3AB21BF</v>
      </c>
      <c r="B3112" s="1" t="str">
        <f t="shared" si="71"/>
        <v>02406911202</v>
      </c>
      <c r="C3112" s="1" t="s">
        <v>13</v>
      </c>
      <c r="D3112" s="1" t="s">
        <v>1253</v>
      </c>
      <c r="E3112" s="1" t="s">
        <v>1260</v>
      </c>
      <c r="F3112" s="1" t="s">
        <v>49</v>
      </c>
      <c r="G3112" s="1" t="str">
        <f>"10517560156"</f>
        <v>10517560156</v>
      </c>
      <c r="I3112" s="1" t="s">
        <v>4215</v>
      </c>
      <c r="L3112" s="1" t="s">
        <v>44</v>
      </c>
      <c r="M3112" s="1" t="s">
        <v>1255</v>
      </c>
      <c r="AG3112" s="1" t="s">
        <v>6454</v>
      </c>
      <c r="AH3112" s="2">
        <v>45022</v>
      </c>
      <c r="AI3112" s="2">
        <v>45291</v>
      </c>
      <c r="AJ3112" s="2">
        <v>45022</v>
      </c>
    </row>
    <row r="3113" spans="1:36">
      <c r="A3113" s="1" t="str">
        <f>"9654463AE5"</f>
        <v>9654463AE5</v>
      </c>
      <c r="B3113" s="1" t="str">
        <f t="shared" si="71"/>
        <v>02406911202</v>
      </c>
      <c r="C3113" s="1" t="s">
        <v>13</v>
      </c>
      <c r="D3113" s="1" t="s">
        <v>37</v>
      </c>
      <c r="E3113" s="1" t="s">
        <v>6455</v>
      </c>
      <c r="F3113" s="1" t="s">
        <v>117</v>
      </c>
      <c r="G3113" s="1" t="str">
        <f>"01114601006"</f>
        <v>01114601006</v>
      </c>
      <c r="I3113" s="1" t="s">
        <v>1665</v>
      </c>
      <c r="L3113" s="1" t="s">
        <v>44</v>
      </c>
      <c r="M3113" s="1" t="s">
        <v>6456</v>
      </c>
      <c r="AG3113" s="1" t="s">
        <v>124</v>
      </c>
      <c r="AH3113" s="2">
        <v>44970</v>
      </c>
      <c r="AI3113" s="2">
        <v>46247</v>
      </c>
      <c r="AJ3113" s="2">
        <v>44970</v>
      </c>
    </row>
    <row r="3114" spans="1:36">
      <c r="A3114" s="1" t="str">
        <f>"9668560C1B"</f>
        <v>9668560C1B</v>
      </c>
      <c r="B3114" s="1" t="str">
        <f t="shared" si="71"/>
        <v>02406911202</v>
      </c>
      <c r="C3114" s="1" t="s">
        <v>13</v>
      </c>
      <c r="D3114" s="1" t="s">
        <v>37</v>
      </c>
      <c r="E3114" s="1" t="s">
        <v>6457</v>
      </c>
      <c r="F3114" s="1" t="s">
        <v>99</v>
      </c>
      <c r="G3114" s="1" t="str">
        <f>"01114601006"</f>
        <v>01114601006</v>
      </c>
      <c r="I3114" s="1" t="s">
        <v>1665</v>
      </c>
      <c r="L3114" s="1" t="s">
        <v>44</v>
      </c>
      <c r="M3114" s="1" t="s">
        <v>1666</v>
      </c>
      <c r="AG3114" s="1" t="s">
        <v>124</v>
      </c>
      <c r="AH3114" s="2">
        <v>44970</v>
      </c>
      <c r="AI3114" s="2">
        <v>46247</v>
      </c>
      <c r="AJ3114" s="2">
        <v>44970</v>
      </c>
    </row>
    <row r="3115" spans="1:36">
      <c r="A3115" s="1" t="str">
        <f>"97528881C9"</f>
        <v>97528881C9</v>
      </c>
      <c r="B3115" s="1" t="str">
        <f t="shared" si="71"/>
        <v>02406911202</v>
      </c>
      <c r="C3115" s="1" t="s">
        <v>13</v>
      </c>
      <c r="D3115" s="1" t="s">
        <v>37</v>
      </c>
      <c r="E3115" s="1" t="s">
        <v>6458</v>
      </c>
      <c r="F3115" s="1" t="s">
        <v>431</v>
      </c>
      <c r="G3115" s="1" t="str">
        <f>"03593680378"</f>
        <v>03593680378</v>
      </c>
      <c r="I3115" s="1" t="s">
        <v>432</v>
      </c>
      <c r="L3115" s="1" t="s">
        <v>44</v>
      </c>
      <c r="M3115" s="1" t="s">
        <v>434</v>
      </c>
      <c r="AG3115" s="1" t="s">
        <v>6459</v>
      </c>
      <c r="AH3115" s="2">
        <v>45057</v>
      </c>
      <c r="AI3115" s="2">
        <v>46152</v>
      </c>
      <c r="AJ3115" s="2">
        <v>45057</v>
      </c>
    </row>
    <row r="3116" spans="1:36">
      <c r="A3116" s="1" t="str">
        <f>"9789081D2E"</f>
        <v>9789081D2E</v>
      </c>
      <c r="B3116" s="1" t="str">
        <f t="shared" si="71"/>
        <v>02406911202</v>
      </c>
      <c r="C3116" s="1" t="s">
        <v>13</v>
      </c>
      <c r="D3116" s="1" t="s">
        <v>37</v>
      </c>
      <c r="E3116" s="1" t="s">
        <v>6460</v>
      </c>
      <c r="F3116" s="1" t="s">
        <v>99</v>
      </c>
      <c r="G3116" s="1" t="str">
        <f>"02373581202"</f>
        <v>02373581202</v>
      </c>
      <c r="I3116" s="1" t="s">
        <v>1405</v>
      </c>
      <c r="L3116" s="1" t="s">
        <v>44</v>
      </c>
      <c r="M3116" s="1" t="s">
        <v>6461</v>
      </c>
      <c r="AG3116" s="1" t="s">
        <v>6461</v>
      </c>
      <c r="AH3116" s="2">
        <v>45048</v>
      </c>
      <c r="AI3116" s="2">
        <v>45273</v>
      </c>
      <c r="AJ3116" s="2">
        <v>45048</v>
      </c>
    </row>
    <row r="3117" spans="1:36">
      <c r="A3117" s="1" t="str">
        <f>"Z853B2E0DC"</f>
        <v>Z853B2E0DC</v>
      </c>
      <c r="B3117" s="1" t="str">
        <f t="shared" si="71"/>
        <v>02406911202</v>
      </c>
      <c r="C3117" s="1" t="s">
        <v>13</v>
      </c>
      <c r="D3117" s="1" t="s">
        <v>205</v>
      </c>
      <c r="E3117" s="1" t="s">
        <v>6462</v>
      </c>
      <c r="F3117" s="1" t="s">
        <v>49</v>
      </c>
      <c r="G3117" s="1" t="str">
        <f>"02726861202"</f>
        <v>02726861202</v>
      </c>
      <c r="I3117" s="1" t="s">
        <v>6463</v>
      </c>
      <c r="L3117" s="1" t="s">
        <v>44</v>
      </c>
      <c r="M3117" s="1" t="s">
        <v>6464</v>
      </c>
      <c r="AG3117" s="1" t="s">
        <v>6465</v>
      </c>
      <c r="AH3117" s="2">
        <v>44927</v>
      </c>
      <c r="AI3117" s="2">
        <v>45291</v>
      </c>
      <c r="AJ3117" s="2">
        <v>44927</v>
      </c>
    </row>
    <row r="3118" spans="1:36">
      <c r="A3118" s="1" t="str">
        <f>"Z9F3B3B9B0"</f>
        <v>Z9F3B3B9B0</v>
      </c>
      <c r="B3118" s="1" t="str">
        <f t="shared" si="71"/>
        <v>02406911202</v>
      </c>
      <c r="C3118" s="1" t="s">
        <v>13</v>
      </c>
      <c r="D3118" s="1" t="s">
        <v>1253</v>
      </c>
      <c r="E3118" s="1" t="s">
        <v>1254</v>
      </c>
      <c r="F3118" s="1" t="s">
        <v>49</v>
      </c>
      <c r="G3118" s="1" t="str">
        <f>"00691781207"</f>
        <v>00691781207</v>
      </c>
      <c r="I3118" s="1" t="s">
        <v>704</v>
      </c>
      <c r="L3118" s="1" t="s">
        <v>44</v>
      </c>
      <c r="M3118" s="1" t="s">
        <v>1255</v>
      </c>
      <c r="AG3118" s="1" t="s">
        <v>6466</v>
      </c>
      <c r="AH3118" s="2">
        <v>45065</v>
      </c>
      <c r="AI3118" s="2">
        <v>45291</v>
      </c>
      <c r="AJ3118" s="2">
        <v>45065</v>
      </c>
    </row>
    <row r="3119" spans="1:36">
      <c r="A3119" s="1" t="str">
        <f>"Z4D3B4B523"</f>
        <v>Z4D3B4B523</v>
      </c>
      <c r="B3119" s="1" t="str">
        <f t="shared" si="71"/>
        <v>02406911202</v>
      </c>
      <c r="C3119" s="1" t="s">
        <v>13</v>
      </c>
      <c r="D3119" s="1" t="s">
        <v>1312</v>
      </c>
      <c r="E3119" s="1" t="s">
        <v>6467</v>
      </c>
      <c r="F3119" s="1" t="s">
        <v>49</v>
      </c>
      <c r="G3119" s="1" t="str">
        <f>"15685941005"</f>
        <v>15685941005</v>
      </c>
      <c r="I3119" s="1" t="s">
        <v>2871</v>
      </c>
      <c r="L3119" s="1" t="s">
        <v>44</v>
      </c>
      <c r="M3119" s="1" t="s">
        <v>1314</v>
      </c>
      <c r="AG3119" s="1" t="s">
        <v>6468</v>
      </c>
      <c r="AH3119" s="2">
        <v>45070</v>
      </c>
      <c r="AI3119" s="2">
        <v>45443</v>
      </c>
      <c r="AJ3119" s="2">
        <v>45070</v>
      </c>
    </row>
    <row r="3120" spans="1:36">
      <c r="A3120" s="1" t="str">
        <f>"ZF93B1F27F"</f>
        <v>ZF93B1F27F</v>
      </c>
      <c r="B3120" s="1" t="str">
        <f t="shared" si="71"/>
        <v>02406911202</v>
      </c>
      <c r="C3120" s="1" t="s">
        <v>13</v>
      </c>
      <c r="D3120" s="1" t="s">
        <v>1253</v>
      </c>
      <c r="E3120" s="1" t="s">
        <v>1317</v>
      </c>
      <c r="F3120" s="1" t="s">
        <v>49</v>
      </c>
      <c r="G3120" s="1" t="str">
        <f>"02285250268"</f>
        <v>02285250268</v>
      </c>
      <c r="I3120" s="1" t="s">
        <v>6469</v>
      </c>
      <c r="L3120" s="1" t="s">
        <v>44</v>
      </c>
      <c r="M3120" s="1" t="s">
        <v>1255</v>
      </c>
      <c r="AG3120" s="1" t="s">
        <v>6470</v>
      </c>
      <c r="AH3120" s="2">
        <v>45070</v>
      </c>
      <c r="AI3120" s="2">
        <v>45291</v>
      </c>
      <c r="AJ3120" s="2">
        <v>45070</v>
      </c>
    </row>
    <row r="3121" spans="1:36">
      <c r="A3121" s="1" t="str">
        <f>"Z083B61623"</f>
        <v>Z083B61623</v>
      </c>
      <c r="B3121" s="1" t="str">
        <f t="shared" si="71"/>
        <v>02406911202</v>
      </c>
      <c r="C3121" s="1" t="s">
        <v>13</v>
      </c>
      <c r="D3121" s="1" t="s">
        <v>1253</v>
      </c>
      <c r="E3121" s="1" t="s">
        <v>3227</v>
      </c>
      <c r="F3121" s="1" t="s">
        <v>49</v>
      </c>
      <c r="H3121" s="1" t="str">
        <f>"00308491521"</f>
        <v>00308491521</v>
      </c>
      <c r="I3121" s="1" t="s">
        <v>4842</v>
      </c>
      <c r="L3121" s="1" t="s">
        <v>44</v>
      </c>
      <c r="M3121" s="1" t="s">
        <v>153</v>
      </c>
      <c r="AG3121" s="1" t="s">
        <v>4877</v>
      </c>
      <c r="AH3121" s="2">
        <v>45077</v>
      </c>
      <c r="AI3121" s="2">
        <v>45291</v>
      </c>
      <c r="AJ3121" s="2">
        <v>45077</v>
      </c>
    </row>
    <row r="3122" spans="1:36">
      <c r="A3122" s="1" t="str">
        <f>"ZDD3B18CD3"</f>
        <v>ZDD3B18CD3</v>
      </c>
      <c r="B3122" s="1" t="str">
        <f t="shared" si="71"/>
        <v>02406911202</v>
      </c>
      <c r="C3122" s="1" t="s">
        <v>13</v>
      </c>
      <c r="D3122" s="1" t="s">
        <v>1253</v>
      </c>
      <c r="E3122" s="1" t="s">
        <v>1254</v>
      </c>
      <c r="F3122" s="1" t="s">
        <v>49</v>
      </c>
      <c r="G3122" s="1" t="str">
        <f>"01604300366"</f>
        <v>01604300366</v>
      </c>
      <c r="I3122" s="1" t="s">
        <v>5602</v>
      </c>
      <c r="L3122" s="1" t="s">
        <v>44</v>
      </c>
      <c r="M3122" s="1" t="s">
        <v>1255</v>
      </c>
      <c r="AG3122" s="1" t="s">
        <v>5603</v>
      </c>
      <c r="AH3122" s="2">
        <v>45077</v>
      </c>
      <c r="AI3122" s="2">
        <v>45291</v>
      </c>
      <c r="AJ3122" s="2">
        <v>45077</v>
      </c>
    </row>
    <row r="3123" spans="1:36">
      <c r="A3123" s="1" t="str">
        <f>"9847074E84"</f>
        <v>9847074E84</v>
      </c>
      <c r="B3123" s="1" t="str">
        <f t="shared" si="71"/>
        <v>02406911202</v>
      </c>
      <c r="C3123" s="1" t="s">
        <v>13</v>
      </c>
      <c r="D3123" s="1" t="s">
        <v>37</v>
      </c>
      <c r="E3123" s="1" t="s">
        <v>6471</v>
      </c>
      <c r="F3123" s="1" t="s">
        <v>117</v>
      </c>
      <c r="G3123" s="1" t="str">
        <f>"08082461008"</f>
        <v>08082461008</v>
      </c>
      <c r="I3123" s="1" t="s">
        <v>423</v>
      </c>
      <c r="L3123" s="1" t="s">
        <v>44</v>
      </c>
      <c r="M3123" s="1" t="s">
        <v>6472</v>
      </c>
      <c r="AG3123" s="1" t="s">
        <v>6473</v>
      </c>
      <c r="AH3123" s="2">
        <v>45072</v>
      </c>
      <c r="AI3123" s="2">
        <v>45437</v>
      </c>
      <c r="AJ3123" s="2">
        <v>45072</v>
      </c>
    </row>
    <row r="3124" spans="1:36">
      <c r="A3124" s="1" t="str">
        <f>"Z203A8FF7B"</f>
        <v>Z203A8FF7B</v>
      </c>
      <c r="B3124" s="1" t="str">
        <f t="shared" si="71"/>
        <v>02406911202</v>
      </c>
      <c r="C3124" s="1" t="s">
        <v>13</v>
      </c>
      <c r="D3124" s="1" t="s">
        <v>1253</v>
      </c>
      <c r="E3124" s="1" t="s">
        <v>1387</v>
      </c>
      <c r="F3124" s="1" t="s">
        <v>49</v>
      </c>
      <c r="G3124" s="1" t="str">
        <f>"00228550273"</f>
        <v>00228550273</v>
      </c>
      <c r="I3124" s="1" t="s">
        <v>1717</v>
      </c>
      <c r="L3124" s="1" t="s">
        <v>44</v>
      </c>
      <c r="M3124" s="1" t="s">
        <v>1255</v>
      </c>
      <c r="AG3124" s="1" t="s">
        <v>6474</v>
      </c>
      <c r="AH3124" s="2">
        <v>45013</v>
      </c>
      <c r="AI3124" s="2">
        <v>45291</v>
      </c>
      <c r="AJ3124" s="2">
        <v>45013</v>
      </c>
    </row>
    <row r="3125" spans="1:36">
      <c r="A3125" s="1" t="str">
        <f>"Z573A97E14"</f>
        <v>Z573A97E14</v>
      </c>
      <c r="B3125" s="1" t="str">
        <f t="shared" si="71"/>
        <v>02406911202</v>
      </c>
      <c r="C3125" s="1" t="s">
        <v>13</v>
      </c>
      <c r="D3125" s="1" t="s">
        <v>1312</v>
      </c>
      <c r="E3125" s="1" t="s">
        <v>6475</v>
      </c>
      <c r="F3125" s="1" t="s">
        <v>49</v>
      </c>
      <c r="G3125" s="1" t="str">
        <f>"00129631206"</f>
        <v>00129631206</v>
      </c>
      <c r="I3125" s="1" t="s">
        <v>6476</v>
      </c>
      <c r="L3125" s="1" t="s">
        <v>44</v>
      </c>
      <c r="M3125" s="1" t="s">
        <v>2888</v>
      </c>
      <c r="AG3125" s="1" t="s">
        <v>2565</v>
      </c>
      <c r="AH3125" s="2">
        <v>45014</v>
      </c>
      <c r="AI3125" s="2">
        <v>45291</v>
      </c>
      <c r="AJ3125" s="2">
        <v>45014</v>
      </c>
    </row>
    <row r="3126" spans="1:36">
      <c r="A3126" s="1" t="str">
        <f>"97323659A9"</f>
        <v>97323659A9</v>
      </c>
      <c r="B3126" s="1" t="str">
        <f t="shared" si="71"/>
        <v>02406911202</v>
      </c>
      <c r="C3126" s="1" t="s">
        <v>13</v>
      </c>
      <c r="D3126" s="1" t="s">
        <v>37</v>
      </c>
      <c r="E3126" s="1" t="s">
        <v>6477</v>
      </c>
      <c r="F3126" s="1" t="s">
        <v>117</v>
      </c>
      <c r="G3126" s="1" t="str">
        <f>"08082461008"</f>
        <v>08082461008</v>
      </c>
      <c r="I3126" s="1" t="s">
        <v>423</v>
      </c>
      <c r="L3126" s="1" t="s">
        <v>44</v>
      </c>
      <c r="M3126" s="1" t="s">
        <v>807</v>
      </c>
      <c r="AG3126" s="1" t="s">
        <v>6478</v>
      </c>
      <c r="AH3126" s="2">
        <v>45000</v>
      </c>
      <c r="AI3126" s="2">
        <v>45365</v>
      </c>
      <c r="AJ3126" s="2">
        <v>45000</v>
      </c>
    </row>
    <row r="3127" spans="1:36">
      <c r="A3127" s="1" t="str">
        <f>"97501259AD"</f>
        <v>97501259AD</v>
      </c>
      <c r="B3127" s="1" t="str">
        <f t="shared" si="71"/>
        <v>02406911202</v>
      </c>
      <c r="C3127" s="1" t="s">
        <v>13</v>
      </c>
      <c r="D3127" s="1" t="s">
        <v>37</v>
      </c>
      <c r="E3127" s="1" t="s">
        <v>6479</v>
      </c>
      <c r="F3127" s="1" t="s">
        <v>117</v>
      </c>
      <c r="G3127" s="1" t="str">
        <f>"00495451205"</f>
        <v>00495451205</v>
      </c>
      <c r="I3127" s="1" t="s">
        <v>1320</v>
      </c>
      <c r="L3127" s="1" t="s">
        <v>44</v>
      </c>
      <c r="M3127" s="1" t="s">
        <v>6480</v>
      </c>
      <c r="AG3127" s="1" t="s">
        <v>6481</v>
      </c>
      <c r="AH3127" s="2">
        <v>45017</v>
      </c>
      <c r="AI3127" s="2">
        <v>45199</v>
      </c>
      <c r="AJ3127" s="2">
        <v>45017</v>
      </c>
    </row>
    <row r="3128" spans="1:36">
      <c r="A3128" s="1" t="str">
        <f>"Z613AA3EFC"</f>
        <v>Z613AA3EFC</v>
      </c>
      <c r="B3128" s="1" t="str">
        <f t="shared" si="71"/>
        <v>02406911202</v>
      </c>
      <c r="C3128" s="1" t="s">
        <v>13</v>
      </c>
      <c r="D3128" s="1" t="s">
        <v>205</v>
      </c>
      <c r="E3128" s="1" t="s">
        <v>6482</v>
      </c>
      <c r="F3128" s="1" t="s">
        <v>49</v>
      </c>
      <c r="H3128" s="1" t="str">
        <f>"823826326"</f>
        <v>823826326</v>
      </c>
      <c r="I3128" s="1" t="s">
        <v>6483</v>
      </c>
      <c r="L3128" s="1" t="s">
        <v>44</v>
      </c>
      <c r="M3128" s="1" t="s">
        <v>6484</v>
      </c>
      <c r="AG3128" s="1" t="s">
        <v>6484</v>
      </c>
      <c r="AH3128" s="2">
        <v>44927</v>
      </c>
      <c r="AI3128" s="2">
        <v>45291</v>
      </c>
      <c r="AJ3128" s="2">
        <v>44927</v>
      </c>
    </row>
    <row r="3129" spans="1:36">
      <c r="A3129" s="1" t="str">
        <f>"ZF83AC103A"</f>
        <v>ZF83AC103A</v>
      </c>
      <c r="B3129" s="1" t="str">
        <f t="shared" si="71"/>
        <v>02406911202</v>
      </c>
      <c r="C3129" s="1" t="s">
        <v>13</v>
      </c>
      <c r="D3129" s="1" t="s">
        <v>1312</v>
      </c>
      <c r="E3129" s="1" t="s">
        <v>6485</v>
      </c>
      <c r="F3129" s="1" t="s">
        <v>49</v>
      </c>
      <c r="G3129" s="1" t="str">
        <f>"03593680378"</f>
        <v>03593680378</v>
      </c>
      <c r="I3129" s="1" t="s">
        <v>432</v>
      </c>
      <c r="L3129" s="1" t="s">
        <v>44</v>
      </c>
      <c r="M3129" s="1" t="s">
        <v>1314</v>
      </c>
      <c r="AG3129" s="1" t="s">
        <v>6486</v>
      </c>
      <c r="AH3129" s="2">
        <v>45028</v>
      </c>
      <c r="AI3129" s="2">
        <v>45077</v>
      </c>
      <c r="AJ3129" s="2">
        <v>45028</v>
      </c>
    </row>
    <row r="3130" spans="1:36">
      <c r="A3130" s="1" t="str">
        <f>"Z993AC84CA"</f>
        <v>Z993AC84CA</v>
      </c>
      <c r="B3130" s="1" t="str">
        <f t="shared" si="71"/>
        <v>02406911202</v>
      </c>
      <c r="C3130" s="1" t="s">
        <v>13</v>
      </c>
      <c r="D3130" s="1" t="s">
        <v>1312</v>
      </c>
      <c r="E3130" s="1" t="s">
        <v>1424</v>
      </c>
      <c r="F3130" s="1" t="s">
        <v>49</v>
      </c>
      <c r="G3130" s="1" t="str">
        <f>"01228210371"</f>
        <v>01228210371</v>
      </c>
      <c r="I3130" s="1" t="s">
        <v>1425</v>
      </c>
      <c r="L3130" s="1" t="s">
        <v>44</v>
      </c>
      <c r="M3130" s="1" t="s">
        <v>1314</v>
      </c>
      <c r="AG3130" s="1" t="s">
        <v>1426</v>
      </c>
      <c r="AH3130" s="2">
        <v>45030</v>
      </c>
      <c r="AI3130" s="2">
        <v>46022</v>
      </c>
      <c r="AJ3130" s="2">
        <v>45030</v>
      </c>
    </row>
    <row r="3131" spans="1:36">
      <c r="A3131" s="1" t="str">
        <f>"Z993AD1EB9"</f>
        <v>Z993AD1EB9</v>
      </c>
      <c r="B3131" s="1" t="str">
        <f t="shared" si="71"/>
        <v>02406911202</v>
      </c>
      <c r="C3131" s="1" t="s">
        <v>13</v>
      </c>
      <c r="D3131" s="1" t="s">
        <v>1253</v>
      </c>
      <c r="E3131" s="1" t="s">
        <v>1387</v>
      </c>
      <c r="F3131" s="1" t="s">
        <v>49</v>
      </c>
      <c r="G3131" s="1" t="str">
        <f>"02578030153"</f>
        <v>02578030153</v>
      </c>
      <c r="I3131" s="1" t="s">
        <v>4615</v>
      </c>
      <c r="L3131" s="1" t="s">
        <v>44</v>
      </c>
      <c r="M3131" s="1" t="s">
        <v>1255</v>
      </c>
      <c r="AG3131" s="1" t="s">
        <v>6487</v>
      </c>
      <c r="AH3131" s="2">
        <v>45034</v>
      </c>
      <c r="AI3131" s="2">
        <v>45291</v>
      </c>
      <c r="AJ3131" s="2">
        <v>45034</v>
      </c>
    </row>
    <row r="3132" spans="1:36">
      <c r="A3132" s="1" t="str">
        <f>"Z873AD9569"</f>
        <v>Z873AD9569</v>
      </c>
      <c r="B3132" s="1" t="str">
        <f t="shared" si="71"/>
        <v>02406911202</v>
      </c>
      <c r="C3132" s="1" t="s">
        <v>13</v>
      </c>
      <c r="D3132" s="1" t="s">
        <v>1257</v>
      </c>
      <c r="E3132" s="1" t="s">
        <v>1505</v>
      </c>
      <c r="F3132" s="1" t="s">
        <v>49</v>
      </c>
      <c r="G3132" s="1" t="str">
        <f>"01498810280"</f>
        <v>01498810280</v>
      </c>
      <c r="I3132" s="1" t="s">
        <v>1487</v>
      </c>
      <c r="L3132" s="1" t="s">
        <v>44</v>
      </c>
      <c r="M3132" s="1" t="s">
        <v>930</v>
      </c>
      <c r="AG3132" s="1" t="s">
        <v>124</v>
      </c>
      <c r="AH3132" s="2">
        <v>45035</v>
      </c>
      <c r="AI3132" s="2">
        <v>45291</v>
      </c>
      <c r="AJ3132" s="2">
        <v>45035</v>
      </c>
    </row>
    <row r="3133" spans="1:36">
      <c r="A3133" s="1" t="str">
        <f>"ZF93AEB505"</f>
        <v>ZF93AEB505</v>
      </c>
      <c r="B3133" s="1" t="str">
        <f t="shared" si="71"/>
        <v>02406911202</v>
      </c>
      <c r="C3133" s="1" t="s">
        <v>13</v>
      </c>
      <c r="D3133" s="1" t="s">
        <v>1253</v>
      </c>
      <c r="E3133" s="1" t="s">
        <v>1387</v>
      </c>
      <c r="F3133" s="1" t="s">
        <v>49</v>
      </c>
      <c r="G3133" s="1" t="str">
        <f>"01099110999"</f>
        <v>01099110999</v>
      </c>
      <c r="I3133" s="1" t="s">
        <v>2498</v>
      </c>
      <c r="L3133" s="1" t="s">
        <v>44</v>
      </c>
      <c r="M3133" s="1" t="s">
        <v>1255</v>
      </c>
      <c r="AG3133" s="1" t="s">
        <v>6488</v>
      </c>
      <c r="AH3133" s="2">
        <v>45042</v>
      </c>
      <c r="AI3133" s="2">
        <v>45291</v>
      </c>
      <c r="AJ3133" s="2">
        <v>45042</v>
      </c>
    </row>
    <row r="3134" spans="1:36">
      <c r="A3134" s="1" t="str">
        <f>"Z343B3AE7F"</f>
        <v>Z343B3AE7F</v>
      </c>
      <c r="B3134" s="1" t="str">
        <f t="shared" si="71"/>
        <v>02406911202</v>
      </c>
      <c r="C3134" s="1" t="s">
        <v>13</v>
      </c>
      <c r="D3134" s="1" t="s">
        <v>1253</v>
      </c>
      <c r="E3134" s="1" t="s">
        <v>1317</v>
      </c>
      <c r="F3134" s="1" t="s">
        <v>49</v>
      </c>
      <c r="G3134" s="1" t="str">
        <f>"00674840152"</f>
        <v>00674840152</v>
      </c>
      <c r="I3134" s="1" t="s">
        <v>190</v>
      </c>
      <c r="L3134" s="1" t="s">
        <v>44</v>
      </c>
      <c r="M3134" s="1" t="s">
        <v>1255</v>
      </c>
      <c r="AG3134" s="1" t="s">
        <v>6489</v>
      </c>
      <c r="AH3134" s="2">
        <v>45077</v>
      </c>
      <c r="AI3134" s="2">
        <v>45291</v>
      </c>
      <c r="AJ3134" s="2">
        <v>45077</v>
      </c>
    </row>
    <row r="3135" spans="1:36">
      <c r="A3135" s="1" t="str">
        <f>"ZF33B6848A"</f>
        <v>ZF33B6848A</v>
      </c>
      <c r="B3135" s="1" t="str">
        <f t="shared" si="71"/>
        <v>02406911202</v>
      </c>
      <c r="C3135" s="1" t="s">
        <v>13</v>
      </c>
      <c r="D3135" s="1" t="s">
        <v>1253</v>
      </c>
      <c r="E3135" s="1" t="s">
        <v>1317</v>
      </c>
      <c r="F3135" s="1" t="s">
        <v>49</v>
      </c>
      <c r="G3135" s="1" t="str">
        <f>"02518990284"</f>
        <v>02518990284</v>
      </c>
      <c r="I3135" s="1" t="s">
        <v>4211</v>
      </c>
      <c r="L3135" s="1" t="s">
        <v>44</v>
      </c>
      <c r="M3135" s="1" t="s">
        <v>1255</v>
      </c>
      <c r="AG3135" s="1" t="s">
        <v>6490</v>
      </c>
      <c r="AH3135" s="2">
        <v>45078</v>
      </c>
      <c r="AI3135" s="2">
        <v>45291</v>
      </c>
      <c r="AJ3135" s="2">
        <v>45078</v>
      </c>
    </row>
    <row r="3136" spans="1:36">
      <c r="A3136" s="1" t="str">
        <f>"ZAF3B6F49D"</f>
        <v>ZAF3B6F49D</v>
      </c>
      <c r="B3136" s="1" t="str">
        <f t="shared" si="71"/>
        <v>02406911202</v>
      </c>
      <c r="C3136" s="1" t="s">
        <v>13</v>
      </c>
      <c r="D3136" s="1" t="s">
        <v>1253</v>
      </c>
      <c r="E3136" s="1" t="s">
        <v>1270</v>
      </c>
      <c r="F3136" s="1" t="s">
        <v>49</v>
      </c>
      <c r="G3136" s="1" t="str">
        <f>"03653370282"</f>
        <v>03653370282</v>
      </c>
      <c r="I3136" s="1" t="s">
        <v>6491</v>
      </c>
      <c r="L3136" s="1" t="s">
        <v>44</v>
      </c>
      <c r="M3136" s="1" t="s">
        <v>153</v>
      </c>
      <c r="AG3136" s="1" t="s">
        <v>6492</v>
      </c>
      <c r="AH3136" s="2">
        <v>45083</v>
      </c>
      <c r="AI3136" s="2">
        <v>45291</v>
      </c>
      <c r="AJ3136" s="2">
        <v>45083</v>
      </c>
    </row>
    <row r="3137" spans="1:36">
      <c r="A3137" s="1" t="str">
        <f>"Z493A95411"</f>
        <v>Z493A95411</v>
      </c>
      <c r="B3137" s="1" t="str">
        <f t="shared" si="71"/>
        <v>02406911202</v>
      </c>
      <c r="C3137" s="1" t="s">
        <v>13</v>
      </c>
      <c r="D3137" s="1" t="s">
        <v>1253</v>
      </c>
      <c r="E3137" s="1" t="s">
        <v>1262</v>
      </c>
      <c r="F3137" s="1" t="s">
        <v>49</v>
      </c>
      <c r="G3137" s="1" t="str">
        <f>"02457060032"</f>
        <v>02457060032</v>
      </c>
      <c r="I3137" s="1" t="s">
        <v>1263</v>
      </c>
      <c r="L3137" s="1" t="s">
        <v>44</v>
      </c>
      <c r="M3137" s="1" t="s">
        <v>1255</v>
      </c>
      <c r="AG3137" s="1" t="s">
        <v>4731</v>
      </c>
      <c r="AH3137" s="2">
        <v>45014</v>
      </c>
      <c r="AI3137" s="2">
        <v>45291</v>
      </c>
      <c r="AJ3137" s="2">
        <v>45014</v>
      </c>
    </row>
    <row r="3138" spans="1:36">
      <c r="A3138" s="1" t="str">
        <f>"Z123A9F1CE"</f>
        <v>Z123A9F1CE</v>
      </c>
      <c r="B3138" s="1" t="str">
        <f t="shared" si="71"/>
        <v>02406911202</v>
      </c>
      <c r="C3138" s="1" t="s">
        <v>13</v>
      </c>
      <c r="D3138" s="1" t="s">
        <v>1257</v>
      </c>
      <c r="E3138" s="1" t="s">
        <v>6493</v>
      </c>
      <c r="F3138" s="1" t="s">
        <v>49</v>
      </c>
      <c r="G3138" s="1" t="str">
        <f>"12864800151"</f>
        <v>12864800151</v>
      </c>
      <c r="I3138" s="1" t="s">
        <v>1393</v>
      </c>
      <c r="L3138" s="1" t="s">
        <v>44</v>
      </c>
      <c r="M3138" s="1" t="s">
        <v>933</v>
      </c>
      <c r="AG3138" s="1" t="s">
        <v>124</v>
      </c>
      <c r="AH3138" s="2">
        <v>45016</v>
      </c>
      <c r="AI3138" s="2">
        <v>45016</v>
      </c>
      <c r="AJ3138" s="2">
        <v>45016</v>
      </c>
    </row>
    <row r="3139" spans="1:36">
      <c r="A3139" s="1" t="str">
        <f>"ZA33B0F7D9"</f>
        <v>ZA33B0F7D9</v>
      </c>
      <c r="B3139" s="1" t="str">
        <f t="shared" si="71"/>
        <v>02406911202</v>
      </c>
      <c r="C3139" s="1" t="s">
        <v>13</v>
      </c>
      <c r="D3139" s="1" t="s">
        <v>205</v>
      </c>
      <c r="E3139" s="1" t="s">
        <v>6494</v>
      </c>
      <c r="F3139" s="1" t="s">
        <v>49</v>
      </c>
      <c r="G3139" s="1" t="str">
        <f>"02215801206"</f>
        <v>02215801206</v>
      </c>
      <c r="I3139" s="1" t="s">
        <v>6495</v>
      </c>
      <c r="L3139" s="1" t="s">
        <v>44</v>
      </c>
      <c r="M3139" s="1" t="s">
        <v>6496</v>
      </c>
      <c r="AG3139" s="1" t="s">
        <v>6497</v>
      </c>
      <c r="AH3139" s="2">
        <v>44927</v>
      </c>
      <c r="AI3139" s="2">
        <v>45291</v>
      </c>
      <c r="AJ3139" s="2">
        <v>44927</v>
      </c>
    </row>
    <row r="3140" spans="1:36">
      <c r="A3140" s="1" t="str">
        <f>"ZBB3B0F86F"</f>
        <v>ZBB3B0F86F</v>
      </c>
      <c r="B3140" s="1" t="str">
        <f t="shared" si="71"/>
        <v>02406911202</v>
      </c>
      <c r="C3140" s="1" t="s">
        <v>13</v>
      </c>
      <c r="D3140" s="1" t="s">
        <v>205</v>
      </c>
      <c r="E3140" s="1" t="s">
        <v>6498</v>
      </c>
      <c r="F3140" s="1" t="s">
        <v>49</v>
      </c>
      <c r="G3140" s="1" t="str">
        <f>"02203421207"</f>
        <v>02203421207</v>
      </c>
      <c r="I3140" s="1" t="s">
        <v>6499</v>
      </c>
      <c r="L3140" s="1" t="s">
        <v>44</v>
      </c>
      <c r="M3140" s="1" t="s">
        <v>6500</v>
      </c>
      <c r="AG3140" s="1" t="s">
        <v>6501</v>
      </c>
      <c r="AH3140" s="2">
        <v>44927</v>
      </c>
      <c r="AI3140" s="2">
        <v>45291</v>
      </c>
      <c r="AJ3140" s="2">
        <v>44927</v>
      </c>
    </row>
    <row r="3141" spans="1:36">
      <c r="A3141" s="1" t="str">
        <f>"9790579162"</f>
        <v>9790579162</v>
      </c>
      <c r="B3141" s="1" t="str">
        <f t="shared" si="71"/>
        <v>02406911202</v>
      </c>
      <c r="C3141" s="1" t="s">
        <v>13</v>
      </c>
      <c r="D3141" s="1" t="s">
        <v>1253</v>
      </c>
      <c r="E3141" s="1" t="s">
        <v>1260</v>
      </c>
      <c r="F3141" s="1" t="s">
        <v>49</v>
      </c>
      <c r="G3141" s="1" t="str">
        <f>"01535310427"</f>
        <v>01535310427</v>
      </c>
      <c r="I3141" s="1" t="s">
        <v>3313</v>
      </c>
      <c r="L3141" s="1" t="s">
        <v>44</v>
      </c>
      <c r="M3141" s="1" t="s">
        <v>2739</v>
      </c>
      <c r="AG3141" s="1" t="s">
        <v>6502</v>
      </c>
      <c r="AH3141" s="2">
        <v>45055</v>
      </c>
      <c r="AI3141" s="2">
        <v>45291</v>
      </c>
      <c r="AJ3141" s="2">
        <v>45055</v>
      </c>
    </row>
    <row r="3142" spans="1:36">
      <c r="A3142" s="1" t="str">
        <f>"Z323B18EC7"</f>
        <v>Z323B18EC7</v>
      </c>
      <c r="B3142" s="1" t="str">
        <f t="shared" ref="B3142:B3205" si="72">"02406911202"</f>
        <v>02406911202</v>
      </c>
      <c r="C3142" s="1" t="s">
        <v>13</v>
      </c>
      <c r="D3142" s="1" t="s">
        <v>1253</v>
      </c>
      <c r="E3142" s="1" t="s">
        <v>1254</v>
      </c>
      <c r="F3142" s="1" t="s">
        <v>49</v>
      </c>
      <c r="G3142" s="1" t="str">
        <f>"05896100962"</f>
        <v>05896100962</v>
      </c>
      <c r="I3142" s="1" t="s">
        <v>1413</v>
      </c>
      <c r="L3142" s="1" t="s">
        <v>44</v>
      </c>
      <c r="M3142" s="1" t="s">
        <v>1255</v>
      </c>
      <c r="AG3142" s="1" t="s">
        <v>1475</v>
      </c>
      <c r="AH3142" s="2">
        <v>45061</v>
      </c>
      <c r="AI3142" s="2">
        <v>45291</v>
      </c>
      <c r="AJ3142" s="2">
        <v>45061</v>
      </c>
    </row>
    <row r="3143" spans="1:36">
      <c r="A3143" s="1" t="str">
        <f>"Z953B18EFD"</f>
        <v>Z953B18EFD</v>
      </c>
      <c r="B3143" s="1" t="str">
        <f t="shared" si="72"/>
        <v>02406911202</v>
      </c>
      <c r="C3143" s="1" t="s">
        <v>13</v>
      </c>
      <c r="D3143" s="1" t="s">
        <v>1253</v>
      </c>
      <c r="E3143" s="1" t="s">
        <v>1254</v>
      </c>
      <c r="F3143" s="1" t="s">
        <v>49</v>
      </c>
      <c r="G3143" s="1" t="str">
        <f>"02173550282"</f>
        <v>02173550282</v>
      </c>
      <c r="I3143" s="1" t="s">
        <v>634</v>
      </c>
      <c r="L3143" s="1" t="s">
        <v>44</v>
      </c>
      <c r="M3143" s="1" t="s">
        <v>1255</v>
      </c>
      <c r="AG3143" s="1" t="s">
        <v>6503</v>
      </c>
      <c r="AH3143" s="2">
        <v>45061</v>
      </c>
      <c r="AI3143" s="2">
        <v>45291</v>
      </c>
      <c r="AJ3143" s="2">
        <v>45061</v>
      </c>
    </row>
    <row r="3144" spans="1:36">
      <c r="A3144" s="1" t="str">
        <f>"Z6D3B2B90E"</f>
        <v>Z6D3B2B90E</v>
      </c>
      <c r="B3144" s="1" t="str">
        <f t="shared" si="72"/>
        <v>02406911202</v>
      </c>
      <c r="C3144" s="1" t="s">
        <v>13</v>
      </c>
      <c r="D3144" s="1" t="s">
        <v>1253</v>
      </c>
      <c r="E3144" s="1" t="s">
        <v>1262</v>
      </c>
      <c r="F3144" s="1" t="s">
        <v>49</v>
      </c>
      <c r="G3144" s="1" t="str">
        <f>"00924251002"</f>
        <v>00924251002</v>
      </c>
      <c r="I3144" s="1" t="s">
        <v>3651</v>
      </c>
      <c r="L3144" s="1" t="s">
        <v>44</v>
      </c>
      <c r="M3144" s="1" t="s">
        <v>1255</v>
      </c>
      <c r="AG3144" s="1" t="s">
        <v>6504</v>
      </c>
      <c r="AH3144" s="2">
        <v>45062</v>
      </c>
      <c r="AI3144" s="2">
        <v>45291</v>
      </c>
      <c r="AJ3144" s="2">
        <v>45062</v>
      </c>
    </row>
    <row r="3145" spans="1:36">
      <c r="A3145" s="1" t="str">
        <f>"ZA43B2B92C"</f>
        <v>ZA43B2B92C</v>
      </c>
      <c r="B3145" s="1" t="str">
        <f t="shared" si="72"/>
        <v>02406911202</v>
      </c>
      <c r="C3145" s="1" t="s">
        <v>13</v>
      </c>
      <c r="D3145" s="1" t="s">
        <v>1253</v>
      </c>
      <c r="E3145" s="1" t="s">
        <v>1270</v>
      </c>
      <c r="F3145" s="1" t="s">
        <v>49</v>
      </c>
      <c r="G3145" s="1" t="str">
        <f>"03328440270"</f>
        <v>03328440270</v>
      </c>
      <c r="I3145" s="1" t="s">
        <v>6505</v>
      </c>
      <c r="L3145" s="1" t="s">
        <v>44</v>
      </c>
      <c r="M3145" s="1" t="s">
        <v>153</v>
      </c>
      <c r="AG3145" s="1" t="s">
        <v>6506</v>
      </c>
      <c r="AH3145" s="2">
        <v>45062</v>
      </c>
      <c r="AI3145" s="2">
        <v>45291</v>
      </c>
      <c r="AJ3145" s="2">
        <v>45062</v>
      </c>
    </row>
    <row r="3146" spans="1:36">
      <c r="A3146" s="1" t="str">
        <f>"Z723A47141"</f>
        <v>Z723A47141</v>
      </c>
      <c r="B3146" s="1" t="str">
        <f t="shared" si="72"/>
        <v>02406911202</v>
      </c>
      <c r="C3146" s="1" t="s">
        <v>13</v>
      </c>
      <c r="D3146" s="1" t="s">
        <v>1741</v>
      </c>
      <c r="E3146" s="1" t="s">
        <v>6507</v>
      </c>
      <c r="F3146" s="1" t="s">
        <v>39</v>
      </c>
      <c r="G3146" s="1" t="str">
        <f>"04222630370"</f>
        <v>04222630370</v>
      </c>
      <c r="I3146" s="1" t="s">
        <v>2189</v>
      </c>
      <c r="L3146" s="1" t="s">
        <v>44</v>
      </c>
      <c r="M3146" s="1" t="s">
        <v>5918</v>
      </c>
      <c r="AG3146" s="1" t="s">
        <v>5918</v>
      </c>
      <c r="AH3146" s="2">
        <v>44993</v>
      </c>
      <c r="AI3146" s="2">
        <v>45291</v>
      </c>
      <c r="AJ3146" s="2">
        <v>44993</v>
      </c>
    </row>
    <row r="3147" spans="1:36">
      <c r="A3147" s="1" t="str">
        <f>"Z663B54429"</f>
        <v>Z663B54429</v>
      </c>
      <c r="B3147" s="1" t="str">
        <f t="shared" si="72"/>
        <v>02406911202</v>
      </c>
      <c r="C3147" s="1" t="s">
        <v>13</v>
      </c>
      <c r="D3147" s="1" t="s">
        <v>1257</v>
      </c>
      <c r="E3147" s="1" t="s">
        <v>6508</v>
      </c>
      <c r="F3147" s="1" t="s">
        <v>49</v>
      </c>
      <c r="G3147" s="1" t="str">
        <f>"04251280378"</f>
        <v>04251280378</v>
      </c>
      <c r="I3147" s="1" t="s">
        <v>6273</v>
      </c>
      <c r="L3147" s="1" t="s">
        <v>41</v>
      </c>
      <c r="AJ3147" s="2">
        <v>45072</v>
      </c>
    </row>
    <row r="3148" spans="1:36">
      <c r="A3148" s="1" t="str">
        <f>"Z663B54429"</f>
        <v>Z663B54429</v>
      </c>
      <c r="B3148" s="1" t="str">
        <f t="shared" si="72"/>
        <v>02406911202</v>
      </c>
      <c r="C3148" s="1" t="s">
        <v>13</v>
      </c>
      <c r="D3148" s="1" t="s">
        <v>1257</v>
      </c>
      <c r="E3148" s="1" t="s">
        <v>6508</v>
      </c>
      <c r="F3148" s="1" t="s">
        <v>49</v>
      </c>
      <c r="G3148" s="1" t="str">
        <f>"05424020963"</f>
        <v>05424020963</v>
      </c>
      <c r="I3148" s="1" t="s">
        <v>1995</v>
      </c>
      <c r="L3148" s="1" t="s">
        <v>41</v>
      </c>
      <c r="AJ3148" s="2">
        <v>45072</v>
      </c>
    </row>
    <row r="3149" spans="1:36">
      <c r="A3149" s="1" t="str">
        <f>"984710581B"</f>
        <v>984710581B</v>
      </c>
      <c r="B3149" s="1" t="str">
        <f t="shared" si="72"/>
        <v>02406911202</v>
      </c>
      <c r="C3149" s="1" t="s">
        <v>13</v>
      </c>
      <c r="D3149" s="1" t="s">
        <v>37</v>
      </c>
      <c r="E3149" s="1" t="s">
        <v>6509</v>
      </c>
      <c r="F3149" s="1" t="s">
        <v>117</v>
      </c>
      <c r="G3149" s="1" t="str">
        <f>"06912570964"</f>
        <v>06912570964</v>
      </c>
      <c r="I3149" s="1" t="s">
        <v>4331</v>
      </c>
      <c r="L3149" s="1" t="s">
        <v>44</v>
      </c>
      <c r="M3149" s="1" t="s">
        <v>6510</v>
      </c>
      <c r="AG3149" s="1" t="s">
        <v>6511</v>
      </c>
      <c r="AH3149" s="2">
        <v>45072</v>
      </c>
      <c r="AI3149" s="2">
        <v>45437</v>
      </c>
      <c r="AJ3149" s="2">
        <v>45072</v>
      </c>
    </row>
    <row r="3150" spans="1:36">
      <c r="A3150" s="1" t="str">
        <f>"ZE03B637D8"</f>
        <v>ZE03B637D8</v>
      </c>
      <c r="B3150" s="1" t="str">
        <f t="shared" si="72"/>
        <v>02406911202</v>
      </c>
      <c r="C3150" s="1" t="s">
        <v>13</v>
      </c>
      <c r="D3150" s="1" t="s">
        <v>1253</v>
      </c>
      <c r="E3150" s="1" t="s">
        <v>1270</v>
      </c>
      <c r="F3150" s="1" t="s">
        <v>49</v>
      </c>
      <c r="G3150" s="1" t="str">
        <f>"09050810960"</f>
        <v>09050810960</v>
      </c>
      <c r="I3150" s="1" t="s">
        <v>118</v>
      </c>
      <c r="L3150" s="1" t="s">
        <v>44</v>
      </c>
      <c r="M3150" s="1" t="s">
        <v>153</v>
      </c>
      <c r="AG3150" s="1" t="s">
        <v>6512</v>
      </c>
      <c r="AH3150" s="2">
        <v>45077</v>
      </c>
      <c r="AI3150" s="2">
        <v>45291</v>
      </c>
      <c r="AJ3150" s="2">
        <v>45077</v>
      </c>
    </row>
    <row r="3151" spans="1:36">
      <c r="A3151" s="1" t="str">
        <f>"ZC73B5819A"</f>
        <v>ZC73B5819A</v>
      </c>
      <c r="B3151" s="1" t="str">
        <f t="shared" si="72"/>
        <v>02406911202</v>
      </c>
      <c r="C3151" s="1" t="s">
        <v>13</v>
      </c>
      <c r="D3151" s="1" t="s">
        <v>1253</v>
      </c>
      <c r="E3151" s="1" t="s">
        <v>1317</v>
      </c>
      <c r="F3151" s="1" t="s">
        <v>49</v>
      </c>
      <c r="G3151" s="1" t="str">
        <f>"02583590399"</f>
        <v>02583590399</v>
      </c>
      <c r="I3151" s="1" t="s">
        <v>6513</v>
      </c>
      <c r="L3151" s="1" t="s">
        <v>44</v>
      </c>
      <c r="M3151" s="1" t="s">
        <v>1255</v>
      </c>
      <c r="AG3151" s="1" t="s">
        <v>6514</v>
      </c>
      <c r="AH3151" s="2">
        <v>45077</v>
      </c>
      <c r="AI3151" s="2">
        <v>45291</v>
      </c>
      <c r="AJ3151" s="2">
        <v>45077</v>
      </c>
    </row>
    <row r="3152" spans="1:36">
      <c r="A3152" s="1" t="str">
        <f>"Z403B58760"</f>
        <v>Z403B58760</v>
      </c>
      <c r="B3152" s="1" t="str">
        <f t="shared" si="72"/>
        <v>02406911202</v>
      </c>
      <c r="C3152" s="1" t="s">
        <v>13</v>
      </c>
      <c r="D3152" s="1" t="s">
        <v>37</v>
      </c>
      <c r="E3152" s="1" t="s">
        <v>6515</v>
      </c>
      <c r="F3152" s="1" t="s">
        <v>117</v>
      </c>
      <c r="G3152" s="1" t="str">
        <f>"00674840152"</f>
        <v>00674840152</v>
      </c>
      <c r="I3152" s="1" t="s">
        <v>190</v>
      </c>
      <c r="L3152" s="1" t="s">
        <v>44</v>
      </c>
      <c r="M3152" s="1" t="s">
        <v>6516</v>
      </c>
      <c r="AG3152" s="1" t="s">
        <v>3301</v>
      </c>
      <c r="AH3152" s="2">
        <v>45078</v>
      </c>
      <c r="AI3152" s="2">
        <v>45350</v>
      </c>
      <c r="AJ3152" s="2">
        <v>45078</v>
      </c>
    </row>
    <row r="3153" spans="1:36">
      <c r="A3153" s="1" t="str">
        <f>"ZDA3B587B4"</f>
        <v>ZDA3B587B4</v>
      </c>
      <c r="B3153" s="1" t="str">
        <f t="shared" si="72"/>
        <v>02406911202</v>
      </c>
      <c r="C3153" s="1" t="s">
        <v>13</v>
      </c>
      <c r="D3153" s="1" t="s">
        <v>37</v>
      </c>
      <c r="E3153" s="1" t="s">
        <v>6517</v>
      </c>
      <c r="F3153" s="1" t="s">
        <v>117</v>
      </c>
      <c r="G3153" s="1" t="str">
        <f>"02790240101"</f>
        <v>02790240101</v>
      </c>
      <c r="I3153" s="1" t="s">
        <v>275</v>
      </c>
      <c r="L3153" s="1" t="s">
        <v>44</v>
      </c>
      <c r="M3153" s="1" t="s">
        <v>6518</v>
      </c>
      <c r="AG3153" s="1" t="s">
        <v>6519</v>
      </c>
      <c r="AH3153" s="2">
        <v>45078</v>
      </c>
      <c r="AI3153" s="2">
        <v>45350</v>
      </c>
      <c r="AJ3153" s="2">
        <v>45078</v>
      </c>
    </row>
    <row r="3154" spans="1:36">
      <c r="A3154" s="1" t="str">
        <f>"98510385B9"</f>
        <v>98510385B9</v>
      </c>
      <c r="B3154" s="1" t="str">
        <f t="shared" si="72"/>
        <v>02406911202</v>
      </c>
      <c r="C3154" s="1" t="s">
        <v>13</v>
      </c>
      <c r="D3154" s="1" t="s">
        <v>37</v>
      </c>
      <c r="E3154" s="1" t="s">
        <v>6520</v>
      </c>
      <c r="F3154" s="1" t="s">
        <v>117</v>
      </c>
      <c r="G3154" s="1" t="str">
        <f>"02152610784"</f>
        <v>02152610784</v>
      </c>
      <c r="I3154" s="1" t="s">
        <v>122</v>
      </c>
      <c r="L3154" s="1" t="s">
        <v>44</v>
      </c>
      <c r="M3154" s="1" t="s">
        <v>6521</v>
      </c>
      <c r="AG3154" s="1" t="s">
        <v>124</v>
      </c>
      <c r="AH3154" s="2">
        <v>45078</v>
      </c>
      <c r="AI3154" s="2">
        <v>45350</v>
      </c>
      <c r="AJ3154" s="2">
        <v>45078</v>
      </c>
    </row>
    <row r="3155" spans="1:36">
      <c r="A3155" s="1" t="str">
        <f>"Z4D3B587F0"</f>
        <v>Z4D3B587F0</v>
      </c>
      <c r="B3155" s="1" t="str">
        <f t="shared" si="72"/>
        <v>02406911202</v>
      </c>
      <c r="C3155" s="1" t="s">
        <v>13</v>
      </c>
      <c r="D3155" s="1" t="s">
        <v>37</v>
      </c>
      <c r="E3155" s="1" t="s">
        <v>6522</v>
      </c>
      <c r="F3155" s="1" t="s">
        <v>117</v>
      </c>
      <c r="G3155" s="1" t="str">
        <f>"00691781207"</f>
        <v>00691781207</v>
      </c>
      <c r="I3155" s="1" t="s">
        <v>704</v>
      </c>
      <c r="L3155" s="1" t="s">
        <v>44</v>
      </c>
      <c r="M3155" s="1" t="s">
        <v>6523</v>
      </c>
      <c r="AG3155" s="1" t="s">
        <v>6524</v>
      </c>
      <c r="AH3155" s="2">
        <v>45078</v>
      </c>
      <c r="AI3155" s="2">
        <v>45350</v>
      </c>
      <c r="AJ3155" s="2">
        <v>45078</v>
      </c>
    </row>
    <row r="3156" spans="1:36">
      <c r="A3156" s="1" t="str">
        <f>"Z723B5881B"</f>
        <v>Z723B5881B</v>
      </c>
      <c r="B3156" s="1" t="str">
        <f t="shared" si="72"/>
        <v>02406911202</v>
      </c>
      <c r="C3156" s="1" t="s">
        <v>13</v>
      </c>
      <c r="D3156" s="1" t="s">
        <v>37</v>
      </c>
      <c r="E3156" s="1" t="s">
        <v>6525</v>
      </c>
      <c r="F3156" s="1" t="s">
        <v>117</v>
      </c>
      <c r="G3156" s="1" t="str">
        <f>"00503151201"</f>
        <v>00503151201</v>
      </c>
      <c r="I3156" s="1" t="s">
        <v>2329</v>
      </c>
      <c r="L3156" s="1" t="s">
        <v>44</v>
      </c>
      <c r="M3156" s="1" t="s">
        <v>6526</v>
      </c>
      <c r="AG3156" s="1" t="s">
        <v>6527</v>
      </c>
      <c r="AH3156" s="2">
        <v>45078</v>
      </c>
      <c r="AI3156" s="2">
        <v>45350</v>
      </c>
      <c r="AJ3156" s="2">
        <v>45078</v>
      </c>
    </row>
    <row r="3157" spans="1:36">
      <c r="A3157" s="1" t="str">
        <f>"Z4B3B58861"</f>
        <v>Z4B3B58861</v>
      </c>
      <c r="B3157" s="1" t="str">
        <f t="shared" si="72"/>
        <v>02406911202</v>
      </c>
      <c r="C3157" s="1" t="s">
        <v>13</v>
      </c>
      <c r="D3157" s="1" t="s">
        <v>37</v>
      </c>
      <c r="E3157" s="1" t="s">
        <v>6528</v>
      </c>
      <c r="F3157" s="1" t="s">
        <v>117</v>
      </c>
      <c r="G3157" s="1" t="str">
        <f>"09238800156"</f>
        <v>09238800156</v>
      </c>
      <c r="I3157" s="1" t="s">
        <v>88</v>
      </c>
      <c r="L3157" s="1" t="s">
        <v>44</v>
      </c>
      <c r="M3157" s="1" t="s">
        <v>6529</v>
      </c>
      <c r="AG3157" s="1" t="s">
        <v>6530</v>
      </c>
      <c r="AH3157" s="2">
        <v>45078</v>
      </c>
      <c r="AI3157" s="2">
        <v>45350</v>
      </c>
      <c r="AJ3157" s="2">
        <v>45078</v>
      </c>
    </row>
    <row r="3158" spans="1:36">
      <c r="A3158" s="1" t="str">
        <f>"ZAE3B58897"</f>
        <v>ZAE3B58897</v>
      </c>
      <c r="B3158" s="1" t="str">
        <f t="shared" si="72"/>
        <v>02406911202</v>
      </c>
      <c r="C3158" s="1" t="s">
        <v>13</v>
      </c>
      <c r="D3158" s="1" t="s">
        <v>37</v>
      </c>
      <c r="E3158" s="1" t="s">
        <v>6531</v>
      </c>
      <c r="F3158" s="1" t="s">
        <v>117</v>
      </c>
      <c r="G3158" s="1" t="str">
        <f>"09163950968"</f>
        <v>09163950968</v>
      </c>
      <c r="I3158" s="1" t="s">
        <v>3436</v>
      </c>
      <c r="L3158" s="1" t="s">
        <v>44</v>
      </c>
      <c r="M3158" s="1" t="s">
        <v>3158</v>
      </c>
      <c r="AG3158" s="1" t="s">
        <v>6532</v>
      </c>
      <c r="AH3158" s="2">
        <v>45078</v>
      </c>
      <c r="AI3158" s="2">
        <v>45350</v>
      </c>
      <c r="AJ3158" s="2">
        <v>45078</v>
      </c>
    </row>
    <row r="3159" spans="1:36">
      <c r="A3159" s="1" t="str">
        <f>"9851120963"</f>
        <v>9851120963</v>
      </c>
      <c r="B3159" s="1" t="str">
        <f t="shared" si="72"/>
        <v>02406911202</v>
      </c>
      <c r="C3159" s="1" t="s">
        <v>13</v>
      </c>
      <c r="D3159" s="1" t="s">
        <v>37</v>
      </c>
      <c r="E3159" s="1" t="s">
        <v>6533</v>
      </c>
      <c r="F3159" s="1" t="s">
        <v>117</v>
      </c>
      <c r="G3159" s="1" t="str">
        <f>"03940501202"</f>
        <v>03940501202</v>
      </c>
      <c r="I3159" s="1" t="s">
        <v>6534</v>
      </c>
      <c r="L3159" s="1" t="s">
        <v>44</v>
      </c>
      <c r="M3159" s="1" t="s">
        <v>6535</v>
      </c>
      <c r="AG3159" s="1" t="s">
        <v>6536</v>
      </c>
      <c r="AH3159" s="2">
        <v>45078</v>
      </c>
      <c r="AI3159" s="2">
        <v>45350</v>
      </c>
      <c r="AJ3159" s="2">
        <v>45078</v>
      </c>
    </row>
    <row r="3160" spans="1:36">
      <c r="A3160" s="1" t="str">
        <f>"Z9D3B64529"</f>
        <v>Z9D3B64529</v>
      </c>
      <c r="B3160" s="1" t="str">
        <f t="shared" si="72"/>
        <v>02406911202</v>
      </c>
      <c r="C3160" s="1" t="s">
        <v>13</v>
      </c>
      <c r="D3160" s="1" t="s">
        <v>1253</v>
      </c>
      <c r="E3160" s="1" t="s">
        <v>1260</v>
      </c>
      <c r="F3160" s="1" t="s">
        <v>49</v>
      </c>
      <c r="G3160" s="1" t="str">
        <f>"09270550016"</f>
        <v>09270550016</v>
      </c>
      <c r="I3160" s="1" t="s">
        <v>1328</v>
      </c>
      <c r="L3160" s="1" t="s">
        <v>44</v>
      </c>
      <c r="M3160" s="1" t="s">
        <v>1255</v>
      </c>
      <c r="AG3160" s="1" t="s">
        <v>6537</v>
      </c>
      <c r="AH3160" s="2">
        <v>45077</v>
      </c>
      <c r="AI3160" s="2">
        <v>45291</v>
      </c>
      <c r="AJ3160" s="2">
        <v>45077</v>
      </c>
    </row>
    <row r="3161" spans="1:36">
      <c r="A3161" s="1" t="str">
        <f>"Z533B644D3"</f>
        <v>Z533B644D3</v>
      </c>
      <c r="B3161" s="1" t="str">
        <f t="shared" si="72"/>
        <v>02406911202</v>
      </c>
      <c r="C3161" s="1" t="s">
        <v>13</v>
      </c>
      <c r="D3161" s="1" t="s">
        <v>1253</v>
      </c>
      <c r="E3161" s="1" t="s">
        <v>1254</v>
      </c>
      <c r="F3161" s="1" t="s">
        <v>49</v>
      </c>
      <c r="G3161" s="1" t="str">
        <f>"01737830230"</f>
        <v>01737830230</v>
      </c>
      <c r="I3161" s="1" t="s">
        <v>1696</v>
      </c>
      <c r="L3161" s="1" t="s">
        <v>44</v>
      </c>
      <c r="M3161" s="1" t="s">
        <v>1255</v>
      </c>
      <c r="AG3161" s="1" t="s">
        <v>6538</v>
      </c>
      <c r="AH3161" s="2">
        <v>45077</v>
      </c>
      <c r="AI3161" s="2">
        <v>45291</v>
      </c>
      <c r="AJ3161" s="2">
        <v>45077</v>
      </c>
    </row>
    <row r="3162" spans="1:36">
      <c r="A3162" s="1" t="str">
        <f>"Z193B644E1"</f>
        <v>Z193B644E1</v>
      </c>
      <c r="B3162" s="1" t="str">
        <f t="shared" si="72"/>
        <v>02406911202</v>
      </c>
      <c r="C3162" s="1" t="s">
        <v>13</v>
      </c>
      <c r="D3162" s="1" t="s">
        <v>1253</v>
      </c>
      <c r="E3162" s="1" t="s">
        <v>1254</v>
      </c>
      <c r="F3162" s="1" t="s">
        <v>49</v>
      </c>
      <c r="G3162" s="1" t="str">
        <f>"01737830230"</f>
        <v>01737830230</v>
      </c>
      <c r="I3162" s="1" t="s">
        <v>1696</v>
      </c>
      <c r="L3162" s="1" t="s">
        <v>44</v>
      </c>
      <c r="M3162" s="1" t="s">
        <v>1255</v>
      </c>
      <c r="AG3162" s="1" t="s">
        <v>4166</v>
      </c>
      <c r="AH3162" s="2">
        <v>45077</v>
      </c>
      <c r="AI3162" s="2">
        <v>45291</v>
      </c>
      <c r="AJ3162" s="2">
        <v>45077</v>
      </c>
    </row>
    <row r="3163" spans="1:36">
      <c r="A3163" s="1" t="str">
        <f>"Z283B64500"</f>
        <v>Z283B64500</v>
      </c>
      <c r="B3163" s="1" t="str">
        <f t="shared" si="72"/>
        <v>02406911202</v>
      </c>
      <c r="C3163" s="1" t="s">
        <v>13</v>
      </c>
      <c r="D3163" s="1" t="s">
        <v>1253</v>
      </c>
      <c r="E3163" s="1" t="s">
        <v>1260</v>
      </c>
      <c r="F3163" s="1" t="s">
        <v>49</v>
      </c>
      <c r="G3163" s="1" t="str">
        <f>"07435060152"</f>
        <v>07435060152</v>
      </c>
      <c r="I3163" s="1" t="s">
        <v>359</v>
      </c>
      <c r="L3163" s="1" t="s">
        <v>44</v>
      </c>
      <c r="M3163" s="1" t="s">
        <v>1255</v>
      </c>
      <c r="AG3163" s="1" t="s">
        <v>6539</v>
      </c>
      <c r="AH3163" s="2">
        <v>45077</v>
      </c>
      <c r="AI3163" s="2">
        <v>45291</v>
      </c>
      <c r="AJ3163" s="2">
        <v>45077</v>
      </c>
    </row>
    <row r="3164" spans="1:36">
      <c r="A3164" s="1" t="str">
        <f>"Z623AB6E38"</f>
        <v>Z623AB6E38</v>
      </c>
      <c r="B3164" s="1" t="str">
        <f t="shared" si="72"/>
        <v>02406911202</v>
      </c>
      <c r="C3164" s="1" t="s">
        <v>13</v>
      </c>
      <c r="D3164" s="1" t="s">
        <v>1312</v>
      </c>
      <c r="E3164" s="1" t="s">
        <v>6540</v>
      </c>
      <c r="F3164" s="1" t="s">
        <v>49</v>
      </c>
      <c r="G3164" s="1" t="str">
        <f>"09018810151"</f>
        <v>09018810151</v>
      </c>
      <c r="I3164" s="1" t="s">
        <v>1542</v>
      </c>
      <c r="L3164" s="1" t="s">
        <v>44</v>
      </c>
      <c r="M3164" s="1" t="s">
        <v>1314</v>
      </c>
      <c r="AG3164" s="1" t="s">
        <v>6541</v>
      </c>
      <c r="AH3164" s="2">
        <v>45023</v>
      </c>
      <c r="AI3164" s="2">
        <v>45107</v>
      </c>
      <c r="AJ3164" s="2">
        <v>45023</v>
      </c>
    </row>
    <row r="3165" spans="1:36">
      <c r="A3165" s="1" t="str">
        <f>"Z833AB6E4A"</f>
        <v>Z833AB6E4A</v>
      </c>
      <c r="B3165" s="1" t="str">
        <f t="shared" si="72"/>
        <v>02406911202</v>
      </c>
      <c r="C3165" s="1" t="s">
        <v>13</v>
      </c>
      <c r="D3165" s="1" t="s">
        <v>1253</v>
      </c>
      <c r="E3165" s="1" t="s">
        <v>1260</v>
      </c>
      <c r="F3165" s="1" t="s">
        <v>49</v>
      </c>
      <c r="G3165" s="1" t="str">
        <f>"12259760150"</f>
        <v>12259760150</v>
      </c>
      <c r="I3165" s="1" t="s">
        <v>1605</v>
      </c>
      <c r="L3165" s="1" t="s">
        <v>44</v>
      </c>
      <c r="M3165" s="1" t="s">
        <v>1255</v>
      </c>
      <c r="AG3165" s="1" t="s">
        <v>6542</v>
      </c>
      <c r="AH3165" s="2">
        <v>45023</v>
      </c>
      <c r="AI3165" s="2">
        <v>45291</v>
      </c>
      <c r="AJ3165" s="2">
        <v>45023</v>
      </c>
    </row>
    <row r="3166" spans="1:36">
      <c r="A3166" s="1" t="str">
        <f>"ZA83AB7B34"</f>
        <v>ZA83AB7B34</v>
      </c>
      <c r="B3166" s="1" t="str">
        <f t="shared" si="72"/>
        <v>02406911202</v>
      </c>
      <c r="C3166" s="1" t="s">
        <v>13</v>
      </c>
      <c r="D3166" s="1" t="s">
        <v>1253</v>
      </c>
      <c r="E3166" s="1" t="s">
        <v>1262</v>
      </c>
      <c r="F3166" s="1" t="s">
        <v>49</v>
      </c>
      <c r="G3166" s="1" t="str">
        <f>"00907371009"</f>
        <v>00907371009</v>
      </c>
      <c r="I3166" s="1" t="s">
        <v>1581</v>
      </c>
      <c r="L3166" s="1" t="s">
        <v>44</v>
      </c>
      <c r="M3166" s="1" t="s">
        <v>1255</v>
      </c>
      <c r="AG3166" s="1" t="s">
        <v>1255</v>
      </c>
      <c r="AH3166" s="2">
        <v>45023</v>
      </c>
      <c r="AI3166" s="2">
        <v>45291</v>
      </c>
      <c r="AJ3166" s="2">
        <v>45023</v>
      </c>
    </row>
    <row r="3167" spans="1:36">
      <c r="A3167" s="1" t="str">
        <f>"ZD63ACCB28"</f>
        <v>ZD63ACCB28</v>
      </c>
      <c r="B3167" s="1" t="str">
        <f t="shared" si="72"/>
        <v>02406911202</v>
      </c>
      <c r="C3167" s="1" t="s">
        <v>13</v>
      </c>
      <c r="D3167" s="1" t="s">
        <v>1253</v>
      </c>
      <c r="E3167" s="1" t="s">
        <v>1387</v>
      </c>
      <c r="F3167" s="1" t="s">
        <v>49</v>
      </c>
      <c r="G3167" s="1" t="str">
        <f>"00226250165"</f>
        <v>00226250165</v>
      </c>
      <c r="I3167" s="1" t="s">
        <v>3143</v>
      </c>
      <c r="L3167" s="1" t="s">
        <v>44</v>
      </c>
      <c r="M3167" s="1" t="s">
        <v>1255</v>
      </c>
      <c r="AG3167" s="1" t="s">
        <v>6543</v>
      </c>
      <c r="AH3167" s="2">
        <v>45033</v>
      </c>
      <c r="AI3167" s="2">
        <v>45291</v>
      </c>
      <c r="AJ3167" s="2">
        <v>45033</v>
      </c>
    </row>
    <row r="3168" spans="1:36">
      <c r="A3168" s="1" t="str">
        <f>"Z9F3BDE5D0"</f>
        <v>Z9F3BDE5D0</v>
      </c>
      <c r="B3168" s="1" t="str">
        <f t="shared" si="72"/>
        <v>02406911202</v>
      </c>
      <c r="C3168" s="1" t="s">
        <v>13</v>
      </c>
      <c r="D3168" s="1" t="s">
        <v>205</v>
      </c>
      <c r="E3168" s="1" t="s">
        <v>6544</v>
      </c>
      <c r="F3168" s="1" t="s">
        <v>49</v>
      </c>
      <c r="G3168" s="1" t="str">
        <f>"02977621206"</f>
        <v>02977621206</v>
      </c>
      <c r="I3168" s="1" t="s">
        <v>6425</v>
      </c>
      <c r="L3168" s="1" t="s">
        <v>44</v>
      </c>
      <c r="M3168" s="1" t="s">
        <v>2301</v>
      </c>
      <c r="AG3168" s="1" t="s">
        <v>124</v>
      </c>
      <c r="AH3168" s="2">
        <v>44927</v>
      </c>
      <c r="AI3168" s="2">
        <v>45291</v>
      </c>
      <c r="AJ3168" s="2">
        <v>44927</v>
      </c>
    </row>
    <row r="3169" spans="1:36">
      <c r="A3169" s="1" t="str">
        <f>"Z483BDD249"</f>
        <v>Z483BDD249</v>
      </c>
      <c r="B3169" s="1" t="str">
        <f t="shared" si="72"/>
        <v>02406911202</v>
      </c>
      <c r="C3169" s="1" t="s">
        <v>13</v>
      </c>
      <c r="D3169" s="1" t="s">
        <v>205</v>
      </c>
      <c r="E3169" s="1" t="s">
        <v>6544</v>
      </c>
      <c r="F3169" s="1" t="s">
        <v>49</v>
      </c>
      <c r="G3169" s="1" t="str">
        <f>"02866081207"</f>
        <v>02866081207</v>
      </c>
      <c r="I3169" s="1" t="s">
        <v>5050</v>
      </c>
      <c r="L3169" s="1" t="s">
        <v>44</v>
      </c>
      <c r="M3169" s="1" t="s">
        <v>2301</v>
      </c>
      <c r="AG3169" s="1" t="s">
        <v>124</v>
      </c>
      <c r="AH3169" s="2">
        <v>44927</v>
      </c>
      <c r="AI3169" s="2">
        <v>45291</v>
      </c>
      <c r="AJ3169" s="2">
        <v>44927</v>
      </c>
    </row>
    <row r="3170" spans="1:36">
      <c r="A3170" s="1" t="str">
        <f>"Z633C1EBCD"</f>
        <v>Z633C1EBCD</v>
      </c>
      <c r="B3170" s="1" t="str">
        <f t="shared" si="72"/>
        <v>02406911202</v>
      </c>
      <c r="C3170" s="1" t="s">
        <v>13</v>
      </c>
      <c r="D3170" s="1" t="s">
        <v>205</v>
      </c>
      <c r="E3170" s="1" t="s">
        <v>6545</v>
      </c>
      <c r="F3170" s="1" t="s">
        <v>49</v>
      </c>
      <c r="G3170" s="1" t="str">
        <f>"03663531204"</f>
        <v>03663531204</v>
      </c>
      <c r="I3170" s="1" t="s">
        <v>5943</v>
      </c>
      <c r="L3170" s="1" t="s">
        <v>44</v>
      </c>
      <c r="M3170" s="1" t="s">
        <v>6546</v>
      </c>
      <c r="AG3170" s="1" t="s">
        <v>124</v>
      </c>
      <c r="AH3170" s="2">
        <v>45098</v>
      </c>
      <c r="AI3170" s="2">
        <v>45103</v>
      </c>
      <c r="AJ3170" s="2">
        <v>45098</v>
      </c>
    </row>
    <row r="3171" spans="1:36">
      <c r="A3171" s="1" t="str">
        <f>"9356929E11"</f>
        <v>9356929E11</v>
      </c>
      <c r="B3171" s="1" t="str">
        <f t="shared" si="72"/>
        <v>02406911202</v>
      </c>
      <c r="C3171" s="1" t="s">
        <v>13</v>
      </c>
      <c r="D3171" s="1" t="s">
        <v>37</v>
      </c>
      <c r="E3171" s="1" t="s">
        <v>6547</v>
      </c>
      <c r="F3171" s="1" t="s">
        <v>39</v>
      </c>
      <c r="G3171" s="1" t="str">
        <f>"02803471206"</f>
        <v>02803471206</v>
      </c>
      <c r="I3171" s="1" t="s">
        <v>1638</v>
      </c>
      <c r="L3171" s="1" t="s">
        <v>44</v>
      </c>
      <c r="M3171" s="1" t="s">
        <v>6548</v>
      </c>
      <c r="AG3171" s="1" t="s">
        <v>124</v>
      </c>
      <c r="AH3171" s="2">
        <v>45098</v>
      </c>
      <c r="AI3171" s="2">
        <v>46389</v>
      </c>
      <c r="AJ3171" s="2">
        <v>45098</v>
      </c>
    </row>
    <row r="3172" spans="1:36">
      <c r="A3172" s="1" t="str">
        <f>"Z353858BOF"</f>
        <v>Z353858BOF</v>
      </c>
      <c r="B3172" s="1" t="str">
        <f t="shared" si="72"/>
        <v>02406911202</v>
      </c>
      <c r="C3172" s="1" t="s">
        <v>13</v>
      </c>
      <c r="D3172" s="1" t="s">
        <v>205</v>
      </c>
      <c r="E3172" s="1" t="s">
        <v>6549</v>
      </c>
      <c r="F3172" s="1" t="s">
        <v>49</v>
      </c>
      <c r="G3172" s="1" t="str">
        <f>"02171351204"</f>
        <v>02171351204</v>
      </c>
      <c r="I3172" s="1" t="s">
        <v>4558</v>
      </c>
      <c r="L3172" s="1" t="s">
        <v>44</v>
      </c>
      <c r="M3172" s="1" t="s">
        <v>6550</v>
      </c>
      <c r="AG3172" s="1" t="s">
        <v>124</v>
      </c>
      <c r="AH3172" s="2">
        <v>44927</v>
      </c>
      <c r="AI3172" s="2">
        <v>45291</v>
      </c>
      <c r="AJ3172" s="2">
        <v>44927</v>
      </c>
    </row>
    <row r="3173" spans="1:36">
      <c r="A3173" s="1" t="str">
        <f>"Z1B3C47FDC"</f>
        <v>Z1B3C47FDC</v>
      </c>
      <c r="B3173" s="1" t="str">
        <f t="shared" si="72"/>
        <v>02406911202</v>
      </c>
      <c r="C3173" s="1" t="s">
        <v>13</v>
      </c>
      <c r="D3173" s="1" t="s">
        <v>37</v>
      </c>
      <c r="E3173" s="1" t="s">
        <v>6551</v>
      </c>
      <c r="F3173" s="1" t="s">
        <v>39</v>
      </c>
      <c r="G3173" s="1" t="str">
        <f>"01893311009"</f>
        <v>01893311009</v>
      </c>
      <c r="I3173" s="1" t="s">
        <v>4019</v>
      </c>
      <c r="L3173" s="1" t="s">
        <v>44</v>
      </c>
      <c r="M3173" s="1" t="s">
        <v>6552</v>
      </c>
      <c r="AG3173" s="1" t="s">
        <v>124</v>
      </c>
      <c r="AH3173" s="2">
        <v>45047</v>
      </c>
      <c r="AI3173" s="2">
        <v>45291</v>
      </c>
      <c r="AJ3173" s="2">
        <v>45047</v>
      </c>
    </row>
    <row r="3174" spans="1:36">
      <c r="A3174" s="1" t="str">
        <f>"9911145796"</f>
        <v>9911145796</v>
      </c>
      <c r="B3174" s="1" t="str">
        <f t="shared" si="72"/>
        <v>02406911202</v>
      </c>
      <c r="C3174" s="1" t="s">
        <v>13</v>
      </c>
      <c r="D3174" s="1" t="s">
        <v>37</v>
      </c>
      <c r="E3174" s="1" t="s">
        <v>6553</v>
      </c>
      <c r="F3174" s="1" t="s">
        <v>117</v>
      </c>
      <c r="G3174" s="1" t="str">
        <f>"03296950151"</f>
        <v>03296950151</v>
      </c>
      <c r="I3174" s="1" t="s">
        <v>3189</v>
      </c>
      <c r="L3174" s="1" t="s">
        <v>44</v>
      </c>
      <c r="M3174" s="1" t="s">
        <v>6554</v>
      </c>
      <c r="AG3174" s="1" t="s">
        <v>124</v>
      </c>
      <c r="AH3174" s="2">
        <v>45105</v>
      </c>
      <c r="AI3174" s="2">
        <v>46022</v>
      </c>
      <c r="AJ3174" s="2">
        <v>45105</v>
      </c>
    </row>
    <row r="3175" spans="1:36">
      <c r="A3175" s="1" t="str">
        <f>"991182049E"</f>
        <v>991182049E</v>
      </c>
      <c r="B3175" s="1" t="str">
        <f t="shared" si="72"/>
        <v>02406911202</v>
      </c>
      <c r="C3175" s="1" t="s">
        <v>13</v>
      </c>
      <c r="D3175" s="1" t="s">
        <v>37</v>
      </c>
      <c r="E3175" s="1" t="s">
        <v>6555</v>
      </c>
      <c r="F3175" s="1" t="s">
        <v>117</v>
      </c>
      <c r="G3175" s="1" t="str">
        <f>"00747170157"</f>
        <v>00747170157</v>
      </c>
      <c r="I3175" s="1" t="s">
        <v>2051</v>
      </c>
      <c r="L3175" s="1" t="s">
        <v>44</v>
      </c>
      <c r="M3175" s="1" t="s">
        <v>6556</v>
      </c>
      <c r="AG3175" s="1" t="s">
        <v>124</v>
      </c>
      <c r="AH3175" s="2">
        <v>45105</v>
      </c>
      <c r="AI3175" s="2">
        <v>46022</v>
      </c>
      <c r="AJ3175" s="2">
        <v>45105</v>
      </c>
    </row>
    <row r="3176" spans="1:36">
      <c r="A3176" s="1" t="str">
        <f>"Z8F3992CB0"</f>
        <v>Z8F3992CB0</v>
      </c>
      <c r="B3176" s="1" t="str">
        <f t="shared" si="72"/>
        <v>02406911202</v>
      </c>
      <c r="C3176" s="1" t="s">
        <v>13</v>
      </c>
      <c r="D3176" s="1" t="s">
        <v>1253</v>
      </c>
      <c r="E3176" s="1" t="s">
        <v>1254</v>
      </c>
      <c r="F3176" s="1" t="s">
        <v>49</v>
      </c>
      <c r="G3176" s="1" t="str">
        <f>"07155100964"</f>
        <v>07155100964</v>
      </c>
      <c r="I3176" s="1" t="s">
        <v>6557</v>
      </c>
      <c r="L3176" s="1" t="s">
        <v>44</v>
      </c>
      <c r="M3176" s="1" t="s">
        <v>1255</v>
      </c>
      <c r="AG3176" s="1" t="s">
        <v>6558</v>
      </c>
      <c r="AH3176" s="2">
        <v>44945</v>
      </c>
      <c r="AI3176" s="2">
        <v>45291</v>
      </c>
      <c r="AJ3176" s="2">
        <v>44945</v>
      </c>
    </row>
    <row r="3177" spans="1:36">
      <c r="A3177" s="1" t="str">
        <f>"Z2C3BDB721"</f>
        <v>Z2C3BDB721</v>
      </c>
      <c r="B3177" s="1" t="str">
        <f t="shared" si="72"/>
        <v>02406911202</v>
      </c>
      <c r="C3177" s="1" t="s">
        <v>13</v>
      </c>
      <c r="D3177" s="1" t="s">
        <v>205</v>
      </c>
      <c r="E3177" s="1" t="s">
        <v>6544</v>
      </c>
      <c r="F3177" s="1" t="s">
        <v>49</v>
      </c>
      <c r="G3177" s="1" t="str">
        <f>"02977251202"</f>
        <v>02977251202</v>
      </c>
      <c r="I3177" s="1" t="s">
        <v>5428</v>
      </c>
      <c r="L3177" s="1" t="s">
        <v>44</v>
      </c>
      <c r="M3177" s="1" t="s">
        <v>2301</v>
      </c>
      <c r="AG3177" s="1" t="s">
        <v>124</v>
      </c>
      <c r="AH3177" s="2">
        <v>44927</v>
      </c>
      <c r="AI3177" s="2">
        <v>45291</v>
      </c>
      <c r="AJ3177" s="2">
        <v>44927</v>
      </c>
    </row>
    <row r="3178" spans="1:36">
      <c r="A3178" s="1" t="str">
        <f>"Z5C3BDB752"</f>
        <v>Z5C3BDB752</v>
      </c>
      <c r="B3178" s="1" t="str">
        <f t="shared" si="72"/>
        <v>02406911202</v>
      </c>
      <c r="C3178" s="1" t="s">
        <v>13</v>
      </c>
      <c r="D3178" s="1" t="s">
        <v>205</v>
      </c>
      <c r="E3178" s="1" t="s">
        <v>6544</v>
      </c>
      <c r="F3178" s="1" t="s">
        <v>49</v>
      </c>
      <c r="G3178" s="1" t="str">
        <f>"02393951203"</f>
        <v>02393951203</v>
      </c>
      <c r="I3178" s="1" t="s">
        <v>4652</v>
      </c>
      <c r="L3178" s="1" t="s">
        <v>44</v>
      </c>
      <c r="M3178" s="1" t="s">
        <v>2301</v>
      </c>
      <c r="AG3178" s="1" t="s">
        <v>124</v>
      </c>
      <c r="AH3178" s="2">
        <v>44927</v>
      </c>
      <c r="AI3178" s="2">
        <v>45291</v>
      </c>
      <c r="AJ3178" s="2">
        <v>44927</v>
      </c>
    </row>
    <row r="3179" spans="1:36">
      <c r="A3179" s="1" t="str">
        <f>"Z613BDB7B0"</f>
        <v>Z613BDB7B0</v>
      </c>
      <c r="B3179" s="1" t="str">
        <f t="shared" si="72"/>
        <v>02406911202</v>
      </c>
      <c r="C3179" s="1" t="s">
        <v>13</v>
      </c>
      <c r="D3179" s="1" t="s">
        <v>205</v>
      </c>
      <c r="E3179" s="1" t="s">
        <v>6544</v>
      </c>
      <c r="F3179" s="1" t="s">
        <v>49</v>
      </c>
      <c r="G3179" s="1" t="str">
        <f>"03748011206"</f>
        <v>03748011206</v>
      </c>
      <c r="I3179" s="1" t="s">
        <v>6132</v>
      </c>
      <c r="L3179" s="1" t="s">
        <v>44</v>
      </c>
      <c r="M3179" s="1" t="s">
        <v>2301</v>
      </c>
      <c r="AG3179" s="1" t="s">
        <v>124</v>
      </c>
      <c r="AH3179" s="2">
        <v>44927</v>
      </c>
      <c r="AI3179" s="2">
        <v>45291</v>
      </c>
      <c r="AJ3179" s="2">
        <v>44927</v>
      </c>
    </row>
    <row r="3180" spans="1:36">
      <c r="A3180" s="1" t="str">
        <f>"ZA53BA9658"</f>
        <v>ZA53BA9658</v>
      </c>
      <c r="B3180" s="1" t="str">
        <f t="shared" si="72"/>
        <v>02406911202</v>
      </c>
      <c r="C3180" s="1" t="s">
        <v>13</v>
      </c>
      <c r="D3180" s="1" t="s">
        <v>37</v>
      </c>
      <c r="E3180" s="1" t="s">
        <v>6559</v>
      </c>
      <c r="F3180" s="1" t="s">
        <v>117</v>
      </c>
      <c r="G3180" s="1" t="str">
        <f>"12432150154"</f>
        <v>12432150154</v>
      </c>
      <c r="I3180" s="1" t="s">
        <v>1646</v>
      </c>
      <c r="L3180" s="1" t="s">
        <v>44</v>
      </c>
      <c r="M3180" s="1" t="s">
        <v>6560</v>
      </c>
      <c r="AG3180" s="1" t="s">
        <v>124</v>
      </c>
      <c r="AH3180" s="2">
        <v>45105</v>
      </c>
      <c r="AI3180" s="2">
        <v>46022</v>
      </c>
      <c r="AJ3180" s="2">
        <v>45105</v>
      </c>
    </row>
    <row r="3181" spans="1:36">
      <c r="A3181" s="1" t="str">
        <f>"ZA33BA96C9"</f>
        <v>ZA33BA96C9</v>
      </c>
      <c r="B3181" s="1" t="str">
        <f t="shared" si="72"/>
        <v>02406911202</v>
      </c>
      <c r="C3181" s="1" t="s">
        <v>13</v>
      </c>
      <c r="D3181" s="1" t="s">
        <v>37</v>
      </c>
      <c r="E3181" s="1" t="s">
        <v>6561</v>
      </c>
      <c r="F3181" s="1" t="s">
        <v>117</v>
      </c>
      <c r="G3181" s="1" t="str">
        <f>"03524050238"</f>
        <v>03524050238</v>
      </c>
      <c r="I3181" s="1" t="s">
        <v>593</v>
      </c>
      <c r="L3181" s="1" t="s">
        <v>44</v>
      </c>
      <c r="M3181" s="1" t="s">
        <v>6562</v>
      </c>
      <c r="AG3181" s="1" t="s">
        <v>124</v>
      </c>
      <c r="AH3181" s="2">
        <v>45105</v>
      </c>
      <c r="AI3181" s="2">
        <v>46022</v>
      </c>
      <c r="AJ3181" s="2">
        <v>45105</v>
      </c>
    </row>
    <row r="3182" spans="1:36">
      <c r="A3182" s="1" t="str">
        <f>"9910210401"</f>
        <v>9910210401</v>
      </c>
      <c r="B3182" s="1" t="str">
        <f t="shared" si="72"/>
        <v>02406911202</v>
      </c>
      <c r="C3182" s="1" t="s">
        <v>13</v>
      </c>
      <c r="D3182" s="1" t="s">
        <v>37</v>
      </c>
      <c r="E3182" s="1" t="s">
        <v>6563</v>
      </c>
      <c r="F3182" s="1" t="s">
        <v>117</v>
      </c>
      <c r="G3182" s="1" t="str">
        <f>"11187430159"</f>
        <v>11187430159</v>
      </c>
      <c r="I3182" s="1" t="s">
        <v>460</v>
      </c>
      <c r="L3182" s="1" t="s">
        <v>44</v>
      </c>
      <c r="M3182" s="1" t="s">
        <v>6564</v>
      </c>
      <c r="AG3182" s="1" t="s">
        <v>124</v>
      </c>
      <c r="AH3182" s="2">
        <v>45105</v>
      </c>
      <c r="AI3182" s="2">
        <v>46022</v>
      </c>
      <c r="AJ3182" s="2">
        <v>45105</v>
      </c>
    </row>
    <row r="3183" spans="1:36">
      <c r="A3183" s="1" t="str">
        <f>"9911067738"</f>
        <v>9911067738</v>
      </c>
      <c r="B3183" s="1" t="str">
        <f t="shared" si="72"/>
        <v>02406911202</v>
      </c>
      <c r="C3183" s="1" t="s">
        <v>13</v>
      </c>
      <c r="D3183" s="1" t="s">
        <v>37</v>
      </c>
      <c r="E3183" s="1" t="s">
        <v>6565</v>
      </c>
      <c r="F3183" s="1" t="s">
        <v>117</v>
      </c>
      <c r="G3183" s="1" t="str">
        <f>"13445820155"</f>
        <v>13445820155</v>
      </c>
      <c r="I3183" s="1" t="s">
        <v>1909</v>
      </c>
      <c r="L3183" s="1" t="s">
        <v>44</v>
      </c>
      <c r="M3183" s="1" t="s">
        <v>6566</v>
      </c>
      <c r="AG3183" s="1" t="s">
        <v>124</v>
      </c>
      <c r="AH3183" s="2">
        <v>45105</v>
      </c>
      <c r="AI3183" s="2">
        <v>46022</v>
      </c>
      <c r="AJ3183" s="2">
        <v>45105</v>
      </c>
    </row>
    <row r="3184" spans="1:36">
      <c r="A3184" s="1" t="str">
        <f>"Z073BDD460"</f>
        <v>Z073BDD460</v>
      </c>
      <c r="B3184" s="1" t="str">
        <f t="shared" si="72"/>
        <v>02406911202</v>
      </c>
      <c r="C3184" s="1" t="s">
        <v>13</v>
      </c>
      <c r="D3184" s="1" t="s">
        <v>205</v>
      </c>
      <c r="E3184" s="1" t="s">
        <v>6544</v>
      </c>
      <c r="F3184" s="1" t="s">
        <v>49</v>
      </c>
      <c r="G3184" s="1" t="str">
        <f>"03123891206"</f>
        <v>03123891206</v>
      </c>
      <c r="I3184" s="1" t="s">
        <v>4284</v>
      </c>
      <c r="L3184" s="1" t="s">
        <v>44</v>
      </c>
      <c r="M3184" s="1" t="s">
        <v>2301</v>
      </c>
      <c r="AG3184" s="1" t="s">
        <v>124</v>
      </c>
      <c r="AH3184" s="2">
        <v>44927</v>
      </c>
      <c r="AI3184" s="2">
        <v>45291</v>
      </c>
      <c r="AJ3184" s="2">
        <v>44927</v>
      </c>
    </row>
    <row r="3185" spans="1:36">
      <c r="A3185" s="1" t="str">
        <f>"ZE13BA98CA"</f>
        <v>ZE13BA98CA</v>
      </c>
      <c r="B3185" s="1" t="str">
        <f t="shared" si="72"/>
        <v>02406911202</v>
      </c>
      <c r="C3185" s="1" t="s">
        <v>13</v>
      </c>
      <c r="D3185" s="1" t="s">
        <v>37</v>
      </c>
      <c r="E3185" s="1" t="s">
        <v>6567</v>
      </c>
      <c r="F3185" s="1" t="s">
        <v>117</v>
      </c>
      <c r="G3185" s="1" t="str">
        <f>"03981260239"</f>
        <v>03981260239</v>
      </c>
      <c r="I3185" s="1" t="s">
        <v>6568</v>
      </c>
      <c r="L3185" s="1" t="s">
        <v>44</v>
      </c>
      <c r="M3185" s="1" t="s">
        <v>6569</v>
      </c>
      <c r="AG3185" s="1" t="s">
        <v>124</v>
      </c>
      <c r="AH3185" s="2">
        <v>45105</v>
      </c>
      <c r="AI3185" s="2">
        <v>46022</v>
      </c>
      <c r="AJ3185" s="2">
        <v>45105</v>
      </c>
    </row>
    <row r="3186" spans="1:36">
      <c r="A3186" s="1" t="str">
        <f>"99095123FF"</f>
        <v>99095123FF</v>
      </c>
      <c r="B3186" s="1" t="str">
        <f t="shared" si="72"/>
        <v>02406911202</v>
      </c>
      <c r="C3186" s="1" t="s">
        <v>13</v>
      </c>
      <c r="D3186" s="1" t="s">
        <v>37</v>
      </c>
      <c r="E3186" s="1" t="s">
        <v>6570</v>
      </c>
      <c r="F3186" s="1" t="s">
        <v>117</v>
      </c>
      <c r="G3186" s="1" t="str">
        <f>"03663160962"</f>
        <v>03663160962</v>
      </c>
      <c r="I3186" s="1" t="s">
        <v>322</v>
      </c>
      <c r="L3186" s="1" t="s">
        <v>44</v>
      </c>
      <c r="M3186" s="1" t="s">
        <v>6571</v>
      </c>
      <c r="AG3186" s="1" t="s">
        <v>124</v>
      </c>
      <c r="AH3186" s="2">
        <v>45105</v>
      </c>
      <c r="AI3186" s="2">
        <v>46022</v>
      </c>
      <c r="AJ3186" s="2">
        <v>45105</v>
      </c>
    </row>
    <row r="3187" spans="1:36">
      <c r="A3187" s="1" t="str">
        <f>"99095882B7"</f>
        <v>99095882B7</v>
      </c>
      <c r="B3187" s="1" t="str">
        <f t="shared" si="72"/>
        <v>02406911202</v>
      </c>
      <c r="C3187" s="1" t="s">
        <v>13</v>
      </c>
      <c r="D3187" s="1" t="s">
        <v>37</v>
      </c>
      <c r="E3187" s="1" t="s">
        <v>6572</v>
      </c>
      <c r="F3187" s="1" t="s">
        <v>117</v>
      </c>
      <c r="G3187" s="1" t="str">
        <f>"01726510595"</f>
        <v>01726510595</v>
      </c>
      <c r="I3187" s="1" t="s">
        <v>1991</v>
      </c>
      <c r="L3187" s="1" t="s">
        <v>44</v>
      </c>
      <c r="M3187" s="1" t="s">
        <v>6573</v>
      </c>
      <c r="AG3187" s="1" t="s">
        <v>124</v>
      </c>
      <c r="AH3187" s="2">
        <v>45105</v>
      </c>
      <c r="AI3187" s="2">
        <v>46022</v>
      </c>
      <c r="AJ3187" s="2">
        <v>45105</v>
      </c>
    </row>
    <row r="3188" spans="1:36">
      <c r="A3188" s="1" t="str">
        <f>"99105951B8"</f>
        <v>99105951B8</v>
      </c>
      <c r="B3188" s="1" t="str">
        <f t="shared" si="72"/>
        <v>02406911202</v>
      </c>
      <c r="C3188" s="1" t="s">
        <v>13</v>
      </c>
      <c r="D3188" s="1" t="s">
        <v>37</v>
      </c>
      <c r="E3188" s="1" t="s">
        <v>6574</v>
      </c>
      <c r="F3188" s="1" t="s">
        <v>117</v>
      </c>
      <c r="G3188" s="1" t="str">
        <f>"00880701008"</f>
        <v>00880701008</v>
      </c>
      <c r="I3188" s="1" t="s">
        <v>2200</v>
      </c>
      <c r="L3188" s="1" t="s">
        <v>44</v>
      </c>
      <c r="M3188" s="1" t="s">
        <v>6575</v>
      </c>
      <c r="AG3188" s="1" t="s">
        <v>124</v>
      </c>
      <c r="AH3188" s="2">
        <v>45105</v>
      </c>
      <c r="AI3188" s="2">
        <v>46022</v>
      </c>
      <c r="AJ3188" s="2">
        <v>45105</v>
      </c>
    </row>
    <row r="3189" spans="1:36">
      <c r="A3189" s="1" t="str">
        <f>"ZA43C40207"</f>
        <v>ZA43C40207</v>
      </c>
      <c r="B3189" s="1" t="str">
        <f t="shared" si="72"/>
        <v>02406911202</v>
      </c>
      <c r="C3189" s="1" t="s">
        <v>13</v>
      </c>
      <c r="D3189" s="1" t="s">
        <v>205</v>
      </c>
      <c r="E3189" s="1" t="s">
        <v>1686</v>
      </c>
      <c r="F3189" s="1" t="s">
        <v>39</v>
      </c>
      <c r="G3189" s="1" t="str">
        <f>"01793500339"</f>
        <v>01793500339</v>
      </c>
      <c r="I3189" s="1" t="s">
        <v>6576</v>
      </c>
      <c r="L3189" s="1" t="s">
        <v>44</v>
      </c>
      <c r="M3189" s="1" t="s">
        <v>917</v>
      </c>
      <c r="AG3189" s="1" t="s">
        <v>124</v>
      </c>
      <c r="AH3189" s="2">
        <v>44927</v>
      </c>
      <c r="AI3189" s="2">
        <v>45291</v>
      </c>
      <c r="AJ3189" s="2">
        <v>44927</v>
      </c>
    </row>
    <row r="3190" spans="1:36">
      <c r="A3190" s="1" t="str">
        <f>"Z663BDCBAA"</f>
        <v>Z663BDCBAA</v>
      </c>
      <c r="B3190" s="1" t="str">
        <f t="shared" si="72"/>
        <v>02406911202</v>
      </c>
      <c r="C3190" s="1" t="s">
        <v>13</v>
      </c>
      <c r="D3190" s="1" t="s">
        <v>205</v>
      </c>
      <c r="E3190" s="1" t="s">
        <v>6544</v>
      </c>
      <c r="F3190" s="1" t="s">
        <v>49</v>
      </c>
      <c r="G3190" s="1" t="str">
        <f>"03248721205"</f>
        <v>03248721205</v>
      </c>
      <c r="I3190" s="1" t="s">
        <v>5393</v>
      </c>
      <c r="L3190" s="1" t="s">
        <v>44</v>
      </c>
      <c r="M3190" s="1" t="s">
        <v>2301</v>
      </c>
      <c r="AG3190" s="1" t="s">
        <v>124</v>
      </c>
      <c r="AH3190" s="2">
        <v>44927</v>
      </c>
      <c r="AI3190" s="2">
        <v>45291</v>
      </c>
      <c r="AJ3190" s="2">
        <v>44927</v>
      </c>
    </row>
    <row r="3191" spans="1:36">
      <c r="A3191" s="1" t="str">
        <f>"Z6D3BEF3B1"</f>
        <v>Z6D3BEF3B1</v>
      </c>
      <c r="B3191" s="1" t="str">
        <f t="shared" si="72"/>
        <v>02406911202</v>
      </c>
      <c r="C3191" s="1" t="s">
        <v>13</v>
      </c>
      <c r="D3191" s="1" t="s">
        <v>205</v>
      </c>
      <c r="E3191" s="1" t="s">
        <v>6577</v>
      </c>
      <c r="F3191" s="1" t="s">
        <v>49</v>
      </c>
      <c r="G3191" s="1" t="str">
        <f>"03224871206"</f>
        <v>03224871206</v>
      </c>
      <c r="I3191" s="1" t="s">
        <v>5183</v>
      </c>
      <c r="L3191" s="1" t="s">
        <v>44</v>
      </c>
      <c r="M3191" s="1" t="s">
        <v>933</v>
      </c>
      <c r="AG3191" s="1" t="s">
        <v>124</v>
      </c>
      <c r="AH3191" s="2">
        <v>44927</v>
      </c>
      <c r="AI3191" s="2">
        <v>45487</v>
      </c>
      <c r="AJ3191" s="2">
        <v>44927</v>
      </c>
    </row>
    <row r="3192" spans="1:36">
      <c r="A3192" s="1" t="str">
        <f>"9847386001"</f>
        <v>9847386001</v>
      </c>
      <c r="B3192" s="1" t="str">
        <f t="shared" si="72"/>
        <v>02406911202</v>
      </c>
      <c r="C3192" s="1" t="s">
        <v>13</v>
      </c>
      <c r="D3192" s="1" t="s">
        <v>37</v>
      </c>
      <c r="E3192" s="1" t="s">
        <v>6578</v>
      </c>
      <c r="F3192" s="1" t="s">
        <v>117</v>
      </c>
      <c r="G3192" s="1" t="str">
        <f>"00735000572"</f>
        <v>00735000572</v>
      </c>
      <c r="I3192" s="1" t="s">
        <v>887</v>
      </c>
      <c r="L3192" s="1" t="s">
        <v>44</v>
      </c>
      <c r="M3192" s="1" t="s">
        <v>6579</v>
      </c>
      <c r="AG3192" s="1" t="s">
        <v>124</v>
      </c>
      <c r="AH3192" s="2">
        <v>45078</v>
      </c>
      <c r="AI3192" s="2">
        <v>46173</v>
      </c>
      <c r="AJ3192" s="2">
        <v>45078</v>
      </c>
    </row>
    <row r="3193" spans="1:36">
      <c r="A3193" s="1" t="str">
        <f>"Z9C3BB1361"</f>
        <v>Z9C3BB1361</v>
      </c>
      <c r="B3193" s="1" t="str">
        <f t="shared" si="72"/>
        <v>02406911202</v>
      </c>
      <c r="C3193" s="1" t="s">
        <v>13</v>
      </c>
      <c r="D3193" s="1" t="s">
        <v>1741</v>
      </c>
      <c r="E3193" s="1" t="s">
        <v>6580</v>
      </c>
      <c r="F3193" s="1" t="s">
        <v>39</v>
      </c>
      <c r="G3193" s="1" t="str">
        <f>"02376321200"</f>
        <v>02376321200</v>
      </c>
      <c r="I3193" s="1" t="s">
        <v>1884</v>
      </c>
      <c r="L3193" s="1" t="s">
        <v>44</v>
      </c>
      <c r="M3193" s="1" t="s">
        <v>6581</v>
      </c>
      <c r="AG3193" s="1" t="s">
        <v>6581</v>
      </c>
      <c r="AH3193" s="2">
        <v>45104</v>
      </c>
      <c r="AI3193" s="2">
        <v>45291</v>
      </c>
      <c r="AJ3193" s="2">
        <v>45104</v>
      </c>
    </row>
    <row r="3194" spans="1:36">
      <c r="A3194" s="1" t="str">
        <f>"Z9C3BB1361"</f>
        <v>Z9C3BB1361</v>
      </c>
      <c r="B3194" s="1" t="str">
        <f t="shared" si="72"/>
        <v>02406911202</v>
      </c>
      <c r="C3194" s="1" t="s">
        <v>13</v>
      </c>
      <c r="D3194" s="1" t="s">
        <v>1741</v>
      </c>
      <c r="E3194" s="1" t="s">
        <v>6580</v>
      </c>
      <c r="F3194" s="1" t="s">
        <v>39</v>
      </c>
      <c r="G3194" s="1" t="str">
        <f>"01957491200"</f>
        <v>01957491200</v>
      </c>
      <c r="I3194" s="1" t="s">
        <v>6582</v>
      </c>
      <c r="L3194" s="1" t="s">
        <v>41</v>
      </c>
      <c r="AJ3194" s="2">
        <v>45104</v>
      </c>
    </row>
    <row r="3195" spans="1:36">
      <c r="A3195" s="1" t="str">
        <f>"Z1A3BA47B3"</f>
        <v>Z1A3BA47B3</v>
      </c>
      <c r="B3195" s="1" t="str">
        <f t="shared" si="72"/>
        <v>02406911202</v>
      </c>
      <c r="C3195" s="1" t="s">
        <v>13</v>
      </c>
      <c r="D3195" s="1" t="s">
        <v>1741</v>
      </c>
      <c r="E3195" s="1" t="s">
        <v>6583</v>
      </c>
      <c r="F3195" s="1" t="s">
        <v>39</v>
      </c>
      <c r="H3195" s="1" t="str">
        <f>"ESA62103999"</f>
        <v>ESA62103999</v>
      </c>
      <c r="I3195" s="1" t="s">
        <v>6584</v>
      </c>
      <c r="L3195" s="1" t="s">
        <v>44</v>
      </c>
      <c r="M3195" s="1" t="s">
        <v>6585</v>
      </c>
      <c r="AG3195" s="1" t="s">
        <v>124</v>
      </c>
      <c r="AH3195" s="2">
        <v>45099</v>
      </c>
      <c r="AI3195" s="2">
        <v>45291</v>
      </c>
      <c r="AJ3195" s="2">
        <v>45099</v>
      </c>
    </row>
    <row r="3196" spans="1:36">
      <c r="A3196" s="1" t="str">
        <f>"Z313BA986A"</f>
        <v>Z313BA986A</v>
      </c>
      <c r="B3196" s="1" t="str">
        <f t="shared" si="72"/>
        <v>02406911202</v>
      </c>
      <c r="C3196" s="1" t="s">
        <v>13</v>
      </c>
      <c r="D3196" s="1" t="s">
        <v>37</v>
      </c>
      <c r="E3196" s="1" t="s">
        <v>6586</v>
      </c>
      <c r="F3196" s="1" t="s">
        <v>117</v>
      </c>
      <c r="G3196" s="1" t="str">
        <f>"03670780158"</f>
        <v>03670780158</v>
      </c>
      <c r="I3196" s="1" t="s">
        <v>3848</v>
      </c>
      <c r="L3196" s="1" t="s">
        <v>44</v>
      </c>
      <c r="M3196" s="1" t="s">
        <v>6587</v>
      </c>
      <c r="AG3196" s="1" t="s">
        <v>124</v>
      </c>
      <c r="AH3196" s="2">
        <v>45105</v>
      </c>
      <c r="AI3196" s="2">
        <v>46022</v>
      </c>
      <c r="AJ3196" s="2">
        <v>45105</v>
      </c>
    </row>
    <row r="3197" spans="1:36">
      <c r="A3197" s="1" t="str">
        <f>"ZC6384A679"</f>
        <v>ZC6384A679</v>
      </c>
      <c r="B3197" s="1" t="str">
        <f t="shared" si="72"/>
        <v>02406911202</v>
      </c>
      <c r="C3197" s="1" t="s">
        <v>13</v>
      </c>
      <c r="D3197" s="1" t="s">
        <v>205</v>
      </c>
      <c r="E3197" s="1" t="s">
        <v>6588</v>
      </c>
      <c r="F3197" s="1" t="s">
        <v>49</v>
      </c>
      <c r="G3197" s="1" t="str">
        <f>"02693211209"</f>
        <v>02693211209</v>
      </c>
      <c r="I3197" s="1" t="s">
        <v>6589</v>
      </c>
      <c r="L3197" s="1" t="s">
        <v>44</v>
      </c>
      <c r="M3197" s="1" t="s">
        <v>6590</v>
      </c>
      <c r="AG3197" s="1" t="s">
        <v>124</v>
      </c>
      <c r="AH3197" s="2">
        <v>44927</v>
      </c>
      <c r="AI3197" s="2">
        <v>45291</v>
      </c>
      <c r="AJ3197" s="2">
        <v>44927</v>
      </c>
    </row>
    <row r="3198" spans="1:36">
      <c r="A3198" s="1" t="str">
        <f>"99117391C7"</f>
        <v>99117391C7</v>
      </c>
      <c r="B3198" s="1" t="str">
        <f t="shared" si="72"/>
        <v>02406911202</v>
      </c>
      <c r="C3198" s="1" t="s">
        <v>13</v>
      </c>
      <c r="D3198" s="1" t="s">
        <v>37</v>
      </c>
      <c r="E3198" s="1" t="s">
        <v>6591</v>
      </c>
      <c r="F3198" s="1" t="s">
        <v>117</v>
      </c>
      <c r="G3198" s="1" t="str">
        <f>"12736110151"</f>
        <v>12736110151</v>
      </c>
      <c r="I3198" s="1" t="s">
        <v>3645</v>
      </c>
      <c r="L3198" s="1" t="s">
        <v>44</v>
      </c>
      <c r="M3198" s="1" t="s">
        <v>6592</v>
      </c>
      <c r="AG3198" s="1" t="s">
        <v>124</v>
      </c>
      <c r="AH3198" s="2">
        <v>45105</v>
      </c>
      <c r="AI3198" s="2">
        <v>46022</v>
      </c>
      <c r="AJ3198" s="2">
        <v>45105</v>
      </c>
    </row>
    <row r="3199" spans="1:36">
      <c r="A3199" s="1" t="str">
        <f>"ZDD3BA99AC"</f>
        <v>ZDD3BA99AC</v>
      </c>
      <c r="B3199" s="1" t="str">
        <f t="shared" si="72"/>
        <v>02406911202</v>
      </c>
      <c r="C3199" s="1" t="s">
        <v>13</v>
      </c>
      <c r="D3199" s="1" t="s">
        <v>37</v>
      </c>
      <c r="E3199" s="1" t="s">
        <v>6593</v>
      </c>
      <c r="F3199" s="1" t="s">
        <v>117</v>
      </c>
      <c r="G3199" s="1" t="str">
        <f>"11654150157"</f>
        <v>11654150157</v>
      </c>
      <c r="I3199" s="1" t="s">
        <v>1468</v>
      </c>
      <c r="L3199" s="1" t="s">
        <v>44</v>
      </c>
      <c r="M3199" s="1" t="s">
        <v>6594</v>
      </c>
      <c r="AG3199" s="1" t="s">
        <v>124</v>
      </c>
      <c r="AH3199" s="2">
        <v>45105</v>
      </c>
      <c r="AI3199" s="2">
        <v>46022</v>
      </c>
      <c r="AJ3199" s="2">
        <v>45105</v>
      </c>
    </row>
    <row r="3200" spans="1:36">
      <c r="A3200" s="1" t="str">
        <f>"Z923BDB826"</f>
        <v>Z923BDB826</v>
      </c>
      <c r="B3200" s="1" t="str">
        <f t="shared" si="72"/>
        <v>02406911202</v>
      </c>
      <c r="C3200" s="1" t="s">
        <v>13</v>
      </c>
      <c r="D3200" s="1" t="s">
        <v>205</v>
      </c>
      <c r="E3200" s="1" t="s">
        <v>6544</v>
      </c>
      <c r="F3200" s="1" t="s">
        <v>49</v>
      </c>
      <c r="G3200" s="1" t="str">
        <f>"02564411201"</f>
        <v>02564411201</v>
      </c>
      <c r="I3200" s="1" t="s">
        <v>4541</v>
      </c>
      <c r="L3200" s="1" t="s">
        <v>44</v>
      </c>
      <c r="M3200" s="1" t="s">
        <v>6595</v>
      </c>
      <c r="AG3200" s="1" t="s">
        <v>124</v>
      </c>
      <c r="AH3200" s="2">
        <v>44927</v>
      </c>
      <c r="AI3200" s="2">
        <v>45291</v>
      </c>
      <c r="AJ3200" s="2">
        <v>44927</v>
      </c>
    </row>
    <row r="3201" spans="1:36">
      <c r="A3201" s="1" t="str">
        <f>"Z8B3BDB548"</f>
        <v>Z8B3BDB548</v>
      </c>
      <c r="B3201" s="1" t="str">
        <f t="shared" si="72"/>
        <v>02406911202</v>
      </c>
      <c r="C3201" s="1" t="s">
        <v>13</v>
      </c>
      <c r="D3201" s="1" t="s">
        <v>205</v>
      </c>
      <c r="E3201" s="1" t="s">
        <v>6544</v>
      </c>
      <c r="F3201" s="1" t="s">
        <v>49</v>
      </c>
      <c r="G3201" s="1" t="str">
        <f>"03410331205"</f>
        <v>03410331205</v>
      </c>
      <c r="I3201" s="1" t="s">
        <v>5259</v>
      </c>
      <c r="L3201" s="1" t="s">
        <v>44</v>
      </c>
      <c r="M3201" s="1" t="s">
        <v>2301</v>
      </c>
      <c r="AG3201" s="1" t="s">
        <v>124</v>
      </c>
      <c r="AH3201" s="2">
        <v>44927</v>
      </c>
      <c r="AI3201" s="2">
        <v>45291</v>
      </c>
      <c r="AJ3201" s="2">
        <v>44927</v>
      </c>
    </row>
    <row r="3202" spans="1:36">
      <c r="A3202" s="1" t="str">
        <f>"Z973BDB593"</f>
        <v>Z973BDB593</v>
      </c>
      <c r="B3202" s="1" t="str">
        <f t="shared" si="72"/>
        <v>02406911202</v>
      </c>
      <c r="C3202" s="1" t="s">
        <v>13</v>
      </c>
      <c r="D3202" s="1" t="s">
        <v>205</v>
      </c>
      <c r="E3202" s="1" t="s">
        <v>6544</v>
      </c>
      <c r="F3202" s="1" t="s">
        <v>49</v>
      </c>
      <c r="G3202" s="1" t="str">
        <f>"02883561207"</f>
        <v>02883561207</v>
      </c>
      <c r="I3202" s="1" t="s">
        <v>4280</v>
      </c>
      <c r="L3202" s="1" t="s">
        <v>44</v>
      </c>
      <c r="M3202" s="1" t="s">
        <v>2301</v>
      </c>
      <c r="AG3202" s="1" t="s">
        <v>124</v>
      </c>
      <c r="AH3202" s="2">
        <v>44927</v>
      </c>
      <c r="AI3202" s="2">
        <v>45291</v>
      </c>
      <c r="AJ3202" s="2">
        <v>44927</v>
      </c>
    </row>
    <row r="3203" spans="1:36">
      <c r="A3203" s="1" t="str">
        <f>"Z073BDB5FB"</f>
        <v>Z073BDB5FB</v>
      </c>
      <c r="B3203" s="1" t="str">
        <f t="shared" si="72"/>
        <v>02406911202</v>
      </c>
      <c r="C3203" s="1" t="s">
        <v>13</v>
      </c>
      <c r="D3203" s="1" t="s">
        <v>205</v>
      </c>
      <c r="E3203" s="1" t="s">
        <v>6544</v>
      </c>
      <c r="F3203" s="1" t="s">
        <v>49</v>
      </c>
      <c r="G3203" s="1" t="str">
        <f>"03334291204"</f>
        <v>03334291204</v>
      </c>
      <c r="I3203" s="1" t="s">
        <v>6038</v>
      </c>
      <c r="L3203" s="1" t="s">
        <v>44</v>
      </c>
      <c r="M3203" s="1" t="s">
        <v>2301</v>
      </c>
      <c r="AG3203" s="1" t="s">
        <v>124</v>
      </c>
      <c r="AH3203" s="2">
        <v>44927</v>
      </c>
      <c r="AI3203" s="2">
        <v>45291</v>
      </c>
      <c r="AJ3203" s="2">
        <v>44927</v>
      </c>
    </row>
    <row r="3204" spans="1:36">
      <c r="A3204" s="1" t="str">
        <f>"ZC53BDB635"</f>
        <v>ZC53BDB635</v>
      </c>
      <c r="B3204" s="1" t="str">
        <f t="shared" si="72"/>
        <v>02406911202</v>
      </c>
      <c r="C3204" s="1" t="s">
        <v>13</v>
      </c>
      <c r="D3204" s="1" t="s">
        <v>205</v>
      </c>
      <c r="E3204" s="1" t="s">
        <v>6544</v>
      </c>
      <c r="F3204" s="1" t="s">
        <v>49</v>
      </c>
      <c r="G3204" s="1" t="str">
        <f>"03697591208"</f>
        <v>03697591208</v>
      </c>
      <c r="I3204" s="1" t="s">
        <v>6317</v>
      </c>
      <c r="L3204" s="1" t="s">
        <v>44</v>
      </c>
      <c r="M3204" s="1" t="s">
        <v>2301</v>
      </c>
      <c r="AG3204" s="1" t="s">
        <v>124</v>
      </c>
      <c r="AH3204" s="2">
        <v>44927</v>
      </c>
      <c r="AI3204" s="2">
        <v>45291</v>
      </c>
      <c r="AJ3204" s="2">
        <v>44927</v>
      </c>
    </row>
    <row r="3205" spans="1:36">
      <c r="A3205" s="1" t="str">
        <f>"Z673BDB65D"</f>
        <v>Z673BDB65D</v>
      </c>
      <c r="B3205" s="1" t="str">
        <f t="shared" si="72"/>
        <v>02406911202</v>
      </c>
      <c r="C3205" s="1" t="s">
        <v>13</v>
      </c>
      <c r="D3205" s="1" t="s">
        <v>205</v>
      </c>
      <c r="E3205" s="1" t="s">
        <v>6544</v>
      </c>
      <c r="F3205" s="1" t="s">
        <v>49</v>
      </c>
      <c r="G3205" s="1" t="str">
        <f>"03964221208"</f>
        <v>03964221208</v>
      </c>
      <c r="I3205" s="1" t="s">
        <v>5291</v>
      </c>
      <c r="L3205" s="1" t="s">
        <v>44</v>
      </c>
      <c r="M3205" s="1" t="s">
        <v>2301</v>
      </c>
      <c r="AG3205" s="1" t="s">
        <v>124</v>
      </c>
      <c r="AH3205" s="2">
        <v>44927</v>
      </c>
      <c r="AI3205" s="2">
        <v>45291</v>
      </c>
      <c r="AJ3205" s="2">
        <v>44927</v>
      </c>
    </row>
    <row r="3206" spans="1:36">
      <c r="A3206" s="1" t="str">
        <f>"Z443BDB6BC"</f>
        <v>Z443BDB6BC</v>
      </c>
      <c r="B3206" s="1" t="str">
        <f t="shared" ref="B3206:B3269" si="73">"02406911202"</f>
        <v>02406911202</v>
      </c>
      <c r="C3206" s="1" t="s">
        <v>13</v>
      </c>
      <c r="D3206" s="1" t="s">
        <v>205</v>
      </c>
      <c r="E3206" s="1" t="s">
        <v>6544</v>
      </c>
      <c r="F3206" s="1" t="s">
        <v>49</v>
      </c>
      <c r="G3206" s="1" t="str">
        <f>"03252801208"</f>
        <v>03252801208</v>
      </c>
      <c r="I3206" s="1" t="s">
        <v>5397</v>
      </c>
      <c r="L3206" s="1" t="s">
        <v>44</v>
      </c>
      <c r="M3206" s="1" t="s">
        <v>2301</v>
      </c>
      <c r="AG3206" s="1" t="s">
        <v>124</v>
      </c>
      <c r="AH3206" s="2">
        <v>44927</v>
      </c>
      <c r="AI3206" s="2">
        <v>45291</v>
      </c>
      <c r="AJ3206" s="2">
        <v>44927</v>
      </c>
    </row>
    <row r="3207" spans="1:36">
      <c r="A3207" s="1" t="str">
        <f>"Z843BDD9A2"</f>
        <v>Z843BDD9A2</v>
      </c>
      <c r="B3207" s="1" t="str">
        <f t="shared" si="73"/>
        <v>02406911202</v>
      </c>
      <c r="C3207" s="1" t="s">
        <v>13</v>
      </c>
      <c r="D3207" s="1" t="s">
        <v>205</v>
      </c>
      <c r="E3207" s="1" t="s">
        <v>6544</v>
      </c>
      <c r="F3207" s="1" t="s">
        <v>49</v>
      </c>
      <c r="G3207" s="1" t="str">
        <f>"01626121204"</f>
        <v>01626121204</v>
      </c>
      <c r="I3207" s="1" t="s">
        <v>5069</v>
      </c>
      <c r="L3207" s="1" t="s">
        <v>44</v>
      </c>
      <c r="M3207" s="1" t="s">
        <v>2301</v>
      </c>
      <c r="AG3207" s="1" t="s">
        <v>124</v>
      </c>
      <c r="AH3207" s="2">
        <v>44927</v>
      </c>
      <c r="AI3207" s="2">
        <v>45291</v>
      </c>
      <c r="AJ3207" s="2">
        <v>44927</v>
      </c>
    </row>
    <row r="3208" spans="1:36">
      <c r="A3208" s="1" t="str">
        <f>"9912618725"</f>
        <v>9912618725</v>
      </c>
      <c r="B3208" s="1" t="str">
        <f t="shared" si="73"/>
        <v>02406911202</v>
      </c>
      <c r="C3208" s="1" t="s">
        <v>13</v>
      </c>
      <c r="D3208" s="1" t="s">
        <v>37</v>
      </c>
      <c r="E3208" s="1" t="s">
        <v>6596</v>
      </c>
      <c r="F3208" s="1" t="s">
        <v>117</v>
      </c>
      <c r="G3208" s="1" t="str">
        <f>"08433930966"</f>
        <v>08433930966</v>
      </c>
      <c r="I3208" s="1" t="s">
        <v>2124</v>
      </c>
      <c r="L3208" s="1" t="s">
        <v>44</v>
      </c>
      <c r="M3208" s="1" t="s">
        <v>6597</v>
      </c>
      <c r="AG3208" s="1" t="s">
        <v>124</v>
      </c>
      <c r="AH3208" s="2">
        <v>45105</v>
      </c>
      <c r="AI3208" s="2">
        <v>46022</v>
      </c>
      <c r="AJ3208" s="2">
        <v>45105</v>
      </c>
    </row>
    <row r="3209" spans="1:36">
      <c r="A3209" s="1" t="str">
        <f>"991226215F"</f>
        <v>991226215F</v>
      </c>
      <c r="B3209" s="1" t="str">
        <f t="shared" si="73"/>
        <v>02406911202</v>
      </c>
      <c r="C3209" s="1" t="s">
        <v>13</v>
      </c>
      <c r="D3209" s="1" t="s">
        <v>37</v>
      </c>
      <c r="E3209" s="1" t="s">
        <v>6598</v>
      </c>
      <c r="F3209" s="1" t="s">
        <v>117</v>
      </c>
      <c r="G3209" s="1" t="str">
        <f>"07649050965"</f>
        <v>07649050965</v>
      </c>
      <c r="I3209" s="1" t="s">
        <v>3072</v>
      </c>
      <c r="L3209" s="1" t="s">
        <v>44</v>
      </c>
      <c r="M3209" s="1" t="s">
        <v>6599</v>
      </c>
      <c r="AG3209" s="1" t="s">
        <v>124</v>
      </c>
      <c r="AH3209" s="2">
        <v>45105</v>
      </c>
      <c r="AI3209" s="2">
        <v>46022</v>
      </c>
      <c r="AJ3209" s="2">
        <v>45105</v>
      </c>
    </row>
    <row r="3210" spans="1:36">
      <c r="A3210" s="1" t="str">
        <f>"99101198E7"</f>
        <v>99101198E7</v>
      </c>
      <c r="B3210" s="1" t="str">
        <f t="shared" si="73"/>
        <v>02406911202</v>
      </c>
      <c r="C3210" s="1" t="s">
        <v>13</v>
      </c>
      <c r="D3210" s="1" t="s">
        <v>37</v>
      </c>
      <c r="E3210" s="1" t="s">
        <v>6600</v>
      </c>
      <c r="F3210" s="1" t="s">
        <v>117</v>
      </c>
      <c r="G3210" s="1" t="str">
        <f>"14883281009"</f>
        <v>14883281009</v>
      </c>
      <c r="I3210" s="1" t="s">
        <v>6601</v>
      </c>
      <c r="L3210" s="1" t="s">
        <v>44</v>
      </c>
      <c r="M3210" s="1" t="s">
        <v>6602</v>
      </c>
      <c r="AG3210" s="1" t="s">
        <v>124</v>
      </c>
      <c r="AH3210" s="2">
        <v>45105</v>
      </c>
      <c r="AI3210" s="2">
        <v>46022</v>
      </c>
      <c r="AJ3210" s="2">
        <v>45105</v>
      </c>
    </row>
    <row r="3211" spans="1:36">
      <c r="A3211" s="1" t="str">
        <f>"9733693192"</f>
        <v>9733693192</v>
      </c>
      <c r="B3211" s="1" t="str">
        <f t="shared" si="73"/>
        <v>02406911202</v>
      </c>
      <c r="C3211" s="1" t="s">
        <v>13</v>
      </c>
      <c r="D3211" s="1" t="s">
        <v>37</v>
      </c>
      <c r="E3211" s="1" t="s">
        <v>6603</v>
      </c>
      <c r="F3211" s="1" t="s">
        <v>1403</v>
      </c>
      <c r="G3211" s="1" t="str">
        <f>"05724831002"</f>
        <v>05724831002</v>
      </c>
      <c r="I3211" s="1" t="s">
        <v>6604</v>
      </c>
      <c r="L3211" s="1" t="s">
        <v>44</v>
      </c>
      <c r="M3211" s="1" t="s">
        <v>6605</v>
      </c>
      <c r="AG3211" s="1" t="s">
        <v>124</v>
      </c>
      <c r="AH3211" s="2">
        <v>45017</v>
      </c>
      <c r="AI3211" s="2">
        <v>46022</v>
      </c>
      <c r="AJ3211" s="2">
        <v>45017</v>
      </c>
    </row>
    <row r="3212" spans="1:36">
      <c r="A3212" s="1" t="str">
        <f>"Z2F3BE4716"</f>
        <v>Z2F3BE4716</v>
      </c>
      <c r="B3212" s="1" t="str">
        <f t="shared" si="73"/>
        <v>02406911202</v>
      </c>
      <c r="C3212" s="1" t="s">
        <v>13</v>
      </c>
      <c r="D3212" s="1" t="s">
        <v>205</v>
      </c>
      <c r="E3212" s="1" t="s">
        <v>6606</v>
      </c>
      <c r="F3212" s="1" t="s">
        <v>49</v>
      </c>
      <c r="G3212" s="1" t="str">
        <f>"00530191204"</f>
        <v>00530191204</v>
      </c>
      <c r="I3212" s="1" t="s">
        <v>4450</v>
      </c>
      <c r="L3212" s="1" t="s">
        <v>44</v>
      </c>
      <c r="M3212" s="1" t="s">
        <v>2301</v>
      </c>
      <c r="AG3212" s="1" t="s">
        <v>124</v>
      </c>
      <c r="AH3212" s="2">
        <v>44927</v>
      </c>
      <c r="AI3212" s="2">
        <v>45291</v>
      </c>
      <c r="AJ3212" s="2">
        <v>44927</v>
      </c>
    </row>
    <row r="3213" spans="1:36">
      <c r="A3213" s="1" t="str">
        <f>"Z3B3BDB354"</f>
        <v>Z3B3BDB354</v>
      </c>
      <c r="B3213" s="1" t="str">
        <f t="shared" si="73"/>
        <v>02406911202</v>
      </c>
      <c r="C3213" s="1" t="s">
        <v>13</v>
      </c>
      <c r="D3213" s="1" t="s">
        <v>205</v>
      </c>
      <c r="E3213" s="1" t="s">
        <v>6544</v>
      </c>
      <c r="F3213" s="1" t="s">
        <v>49</v>
      </c>
      <c r="G3213" s="1" t="str">
        <f>"01925971200"</f>
        <v>01925971200</v>
      </c>
      <c r="I3213" s="1" t="s">
        <v>6250</v>
      </c>
      <c r="L3213" s="1" t="s">
        <v>44</v>
      </c>
      <c r="M3213" s="1" t="s">
        <v>2301</v>
      </c>
      <c r="AG3213" s="1" t="s">
        <v>124</v>
      </c>
      <c r="AH3213" s="2">
        <v>44927</v>
      </c>
      <c r="AI3213" s="2">
        <v>45291</v>
      </c>
      <c r="AJ3213" s="2">
        <v>44927</v>
      </c>
    </row>
    <row r="3214" spans="1:36">
      <c r="A3214" s="1" t="str">
        <f>"Z8C3BDB397"</f>
        <v>Z8C3BDB397</v>
      </c>
      <c r="B3214" s="1" t="str">
        <f t="shared" si="73"/>
        <v>02406911202</v>
      </c>
      <c r="C3214" s="1" t="s">
        <v>13</v>
      </c>
      <c r="D3214" s="1" t="s">
        <v>205</v>
      </c>
      <c r="E3214" s="1" t="s">
        <v>6544</v>
      </c>
      <c r="F3214" s="1" t="s">
        <v>49</v>
      </c>
      <c r="G3214" s="1" t="str">
        <f>"02218991202"</f>
        <v>02218991202</v>
      </c>
      <c r="I3214" s="1" t="s">
        <v>5113</v>
      </c>
      <c r="L3214" s="1" t="s">
        <v>44</v>
      </c>
      <c r="M3214" s="1" t="s">
        <v>2301</v>
      </c>
      <c r="AG3214" s="1" t="s">
        <v>124</v>
      </c>
      <c r="AH3214" s="2">
        <v>44927</v>
      </c>
      <c r="AI3214" s="2">
        <v>45291</v>
      </c>
      <c r="AJ3214" s="2">
        <v>44927</v>
      </c>
    </row>
    <row r="3215" spans="1:36">
      <c r="A3215" s="1" t="str">
        <f>"ZFA3BDB3D3"</f>
        <v>ZFA3BDB3D3</v>
      </c>
      <c r="B3215" s="1" t="str">
        <f t="shared" si="73"/>
        <v>02406911202</v>
      </c>
      <c r="C3215" s="1" t="s">
        <v>13</v>
      </c>
      <c r="D3215" s="1" t="s">
        <v>205</v>
      </c>
      <c r="E3215" s="1" t="s">
        <v>6544</v>
      </c>
      <c r="F3215" s="1" t="s">
        <v>49</v>
      </c>
      <c r="G3215" s="1" t="str">
        <f>"01927111201"</f>
        <v>01927111201</v>
      </c>
      <c r="I3215" s="1" t="s">
        <v>5105</v>
      </c>
      <c r="L3215" s="1" t="s">
        <v>44</v>
      </c>
      <c r="M3215" s="1" t="s">
        <v>2301</v>
      </c>
      <c r="AG3215" s="1" t="s">
        <v>124</v>
      </c>
      <c r="AH3215" s="2">
        <v>44927</v>
      </c>
      <c r="AI3215" s="2">
        <v>45291</v>
      </c>
      <c r="AJ3215" s="2">
        <v>44927</v>
      </c>
    </row>
    <row r="3216" spans="1:36">
      <c r="A3216" s="1" t="str">
        <f>"ZE63BDB451"</f>
        <v>ZE63BDB451</v>
      </c>
      <c r="B3216" s="1" t="str">
        <f t="shared" si="73"/>
        <v>02406911202</v>
      </c>
      <c r="C3216" s="1" t="s">
        <v>13</v>
      </c>
      <c r="D3216" s="1" t="s">
        <v>205</v>
      </c>
      <c r="E3216" s="1" t="s">
        <v>6544</v>
      </c>
      <c r="F3216" s="1" t="s">
        <v>49</v>
      </c>
      <c r="G3216" s="1" t="str">
        <f>"02916461201"</f>
        <v>02916461201</v>
      </c>
      <c r="I3216" s="1" t="s">
        <v>6407</v>
      </c>
      <c r="L3216" s="1" t="s">
        <v>44</v>
      </c>
      <c r="M3216" s="1" t="s">
        <v>2301</v>
      </c>
      <c r="AG3216" s="1" t="s">
        <v>124</v>
      </c>
      <c r="AH3216" s="2">
        <v>44927</v>
      </c>
      <c r="AI3216" s="2">
        <v>45291</v>
      </c>
      <c r="AJ3216" s="2">
        <v>44927</v>
      </c>
    </row>
    <row r="3217" spans="1:36">
      <c r="A3217" s="1" t="str">
        <f>"Z143BDB495"</f>
        <v>Z143BDB495</v>
      </c>
      <c r="B3217" s="1" t="str">
        <f t="shared" si="73"/>
        <v>02406911202</v>
      </c>
      <c r="C3217" s="1" t="s">
        <v>13</v>
      </c>
      <c r="D3217" s="1" t="s">
        <v>205</v>
      </c>
      <c r="E3217" s="1" t="s">
        <v>6544</v>
      </c>
      <c r="F3217" s="1" t="s">
        <v>49</v>
      </c>
      <c r="G3217" s="1" t="str">
        <f>"02988311201"</f>
        <v>02988311201</v>
      </c>
      <c r="I3217" s="1" t="s">
        <v>6607</v>
      </c>
      <c r="L3217" s="1" t="s">
        <v>44</v>
      </c>
      <c r="M3217" s="1" t="s">
        <v>6595</v>
      </c>
      <c r="AG3217" s="1" t="s">
        <v>124</v>
      </c>
      <c r="AH3217" s="2">
        <v>44927</v>
      </c>
      <c r="AI3217" s="2">
        <v>45291</v>
      </c>
      <c r="AJ3217" s="2">
        <v>44927</v>
      </c>
    </row>
    <row r="3218" spans="1:36">
      <c r="A3218" s="1" t="str">
        <f>"Z773BDB4CB"</f>
        <v>Z773BDB4CB</v>
      </c>
      <c r="B3218" s="1" t="str">
        <f t="shared" si="73"/>
        <v>02406911202</v>
      </c>
      <c r="C3218" s="1" t="s">
        <v>13</v>
      </c>
      <c r="D3218" s="1" t="s">
        <v>205</v>
      </c>
      <c r="E3218" s="1" t="s">
        <v>6544</v>
      </c>
      <c r="F3218" s="1" t="s">
        <v>49</v>
      </c>
      <c r="G3218" s="1" t="str">
        <f>"03336801208"</f>
        <v>03336801208</v>
      </c>
      <c r="I3218" s="1" t="s">
        <v>5565</v>
      </c>
      <c r="L3218" s="1" t="s">
        <v>44</v>
      </c>
      <c r="M3218" s="1" t="s">
        <v>2301</v>
      </c>
      <c r="AG3218" s="1" t="s">
        <v>124</v>
      </c>
      <c r="AH3218" s="2">
        <v>44927</v>
      </c>
      <c r="AI3218" s="2">
        <v>45291</v>
      </c>
      <c r="AJ3218" s="2">
        <v>44927</v>
      </c>
    </row>
    <row r="3219" spans="1:36">
      <c r="A3219" s="1" t="str">
        <f>"Z283BDB512"</f>
        <v>Z283BDB512</v>
      </c>
      <c r="B3219" s="1" t="str">
        <f t="shared" si="73"/>
        <v>02406911202</v>
      </c>
      <c r="C3219" s="1" t="s">
        <v>13</v>
      </c>
      <c r="D3219" s="1" t="s">
        <v>205</v>
      </c>
      <c r="E3219" s="1" t="s">
        <v>6544</v>
      </c>
      <c r="F3219" s="1" t="s">
        <v>49</v>
      </c>
      <c r="G3219" s="1" t="str">
        <f>"02883801207"</f>
        <v>02883801207</v>
      </c>
      <c r="I3219" s="1" t="s">
        <v>4186</v>
      </c>
      <c r="L3219" s="1" t="s">
        <v>44</v>
      </c>
      <c r="M3219" s="1" t="s">
        <v>2301</v>
      </c>
      <c r="AG3219" s="1" t="s">
        <v>124</v>
      </c>
      <c r="AH3219" s="2">
        <v>44927</v>
      </c>
      <c r="AI3219" s="2">
        <v>45291</v>
      </c>
      <c r="AJ3219" s="2">
        <v>44927</v>
      </c>
    </row>
    <row r="3220" spans="1:36">
      <c r="A3220" s="1" t="str">
        <f>"ZDC3BDB781"</f>
        <v>ZDC3BDB781</v>
      </c>
      <c r="B3220" s="1" t="str">
        <f t="shared" si="73"/>
        <v>02406911202</v>
      </c>
      <c r="C3220" s="1" t="s">
        <v>13</v>
      </c>
      <c r="D3220" s="1" t="s">
        <v>205</v>
      </c>
      <c r="E3220" s="1" t="s">
        <v>6544</v>
      </c>
      <c r="F3220" s="1" t="s">
        <v>49</v>
      </c>
      <c r="G3220" s="1" t="str">
        <f>"03159351208"</f>
        <v>03159351208</v>
      </c>
      <c r="I3220" s="1" t="s">
        <v>4632</v>
      </c>
      <c r="L3220" s="1" t="s">
        <v>44</v>
      </c>
      <c r="M3220" s="1" t="s">
        <v>2301</v>
      </c>
      <c r="AG3220" s="1" t="s">
        <v>124</v>
      </c>
      <c r="AH3220" s="2">
        <v>44927</v>
      </c>
      <c r="AI3220" s="2">
        <v>45291</v>
      </c>
      <c r="AJ3220" s="2">
        <v>44927</v>
      </c>
    </row>
    <row r="3221" spans="1:36">
      <c r="A3221" s="1" t="str">
        <f>"Z673BDA4B7"</f>
        <v>Z673BDA4B7</v>
      </c>
      <c r="B3221" s="1" t="str">
        <f t="shared" si="73"/>
        <v>02406911202</v>
      </c>
      <c r="C3221" s="1" t="s">
        <v>13</v>
      </c>
      <c r="D3221" s="1" t="s">
        <v>205</v>
      </c>
      <c r="E3221" s="1" t="s">
        <v>6544</v>
      </c>
      <c r="F3221" s="1" t="s">
        <v>49</v>
      </c>
      <c r="G3221" s="1" t="str">
        <f>"04079301208"</f>
        <v>04079301208</v>
      </c>
      <c r="I3221" s="1" t="s">
        <v>5386</v>
      </c>
      <c r="L3221" s="1" t="s">
        <v>44</v>
      </c>
      <c r="M3221" s="1" t="s">
        <v>2301</v>
      </c>
      <c r="AG3221" s="1" t="s">
        <v>124</v>
      </c>
      <c r="AH3221" s="2">
        <v>44927</v>
      </c>
      <c r="AI3221" s="2">
        <v>45291</v>
      </c>
      <c r="AJ3221" s="2">
        <v>44927</v>
      </c>
    </row>
    <row r="3222" spans="1:36">
      <c r="A3222" s="1" t="str">
        <f>"ZC33BDDCE3"</f>
        <v>ZC33BDDCE3</v>
      </c>
      <c r="B3222" s="1" t="str">
        <f t="shared" si="73"/>
        <v>02406911202</v>
      </c>
      <c r="C3222" s="1" t="s">
        <v>13</v>
      </c>
      <c r="D3222" s="1" t="s">
        <v>205</v>
      </c>
      <c r="E3222" s="1" t="s">
        <v>6544</v>
      </c>
      <c r="F3222" s="1" t="s">
        <v>49</v>
      </c>
      <c r="G3222" s="1" t="str">
        <f>"03988251207"</f>
        <v>03988251207</v>
      </c>
      <c r="I3222" s="1" t="s">
        <v>5670</v>
      </c>
      <c r="L3222" s="1" t="s">
        <v>44</v>
      </c>
      <c r="M3222" s="1" t="s">
        <v>2301</v>
      </c>
      <c r="AG3222" s="1" t="s">
        <v>124</v>
      </c>
      <c r="AH3222" s="2">
        <v>44927</v>
      </c>
      <c r="AI3222" s="2">
        <v>45291</v>
      </c>
      <c r="AJ3222" s="2">
        <v>44927</v>
      </c>
    </row>
    <row r="3223" spans="1:36">
      <c r="A3223" s="1" t="str">
        <f>"ZDE3BDB324"</f>
        <v>ZDE3BDB324</v>
      </c>
      <c r="B3223" s="1" t="str">
        <f t="shared" si="73"/>
        <v>02406911202</v>
      </c>
      <c r="C3223" s="1" t="s">
        <v>13</v>
      </c>
      <c r="D3223" s="1" t="s">
        <v>205</v>
      </c>
      <c r="E3223" s="1" t="s">
        <v>6608</v>
      </c>
      <c r="F3223" s="1" t="s">
        <v>49</v>
      </c>
      <c r="G3223" s="1" t="str">
        <f>"02677641207"</f>
        <v>02677641207</v>
      </c>
      <c r="I3223" s="1" t="s">
        <v>5203</v>
      </c>
      <c r="L3223" s="1" t="s">
        <v>44</v>
      </c>
      <c r="M3223" s="1" t="s">
        <v>2301</v>
      </c>
      <c r="AG3223" s="1" t="s">
        <v>124</v>
      </c>
      <c r="AH3223" s="2">
        <v>44927</v>
      </c>
      <c r="AI3223" s="2">
        <v>45291</v>
      </c>
      <c r="AJ3223" s="2">
        <v>44927</v>
      </c>
    </row>
    <row r="3224" spans="1:36">
      <c r="A3224" s="1" t="str">
        <f>"ZB93BDD645"</f>
        <v>ZB93BDD645</v>
      </c>
      <c r="B3224" s="1" t="str">
        <f t="shared" si="73"/>
        <v>02406911202</v>
      </c>
      <c r="C3224" s="1" t="s">
        <v>13</v>
      </c>
      <c r="D3224" s="1" t="s">
        <v>205</v>
      </c>
      <c r="E3224" s="1" t="s">
        <v>6544</v>
      </c>
      <c r="F3224" s="1" t="s">
        <v>49</v>
      </c>
      <c r="G3224" s="1" t="str">
        <f>"02449970363"</f>
        <v>02449970363</v>
      </c>
      <c r="I3224" s="1" t="s">
        <v>6235</v>
      </c>
      <c r="L3224" s="1" t="s">
        <v>44</v>
      </c>
      <c r="M3224" s="1" t="s">
        <v>2301</v>
      </c>
      <c r="AG3224" s="1" t="s">
        <v>124</v>
      </c>
      <c r="AH3224" s="2">
        <v>44927</v>
      </c>
      <c r="AI3224" s="2">
        <v>45291</v>
      </c>
      <c r="AJ3224" s="2">
        <v>44927</v>
      </c>
    </row>
    <row r="3225" spans="1:36">
      <c r="A3225" s="1" t="str">
        <f>"ZDB3BDD69C"</f>
        <v>ZDB3BDD69C</v>
      </c>
      <c r="B3225" s="1" t="str">
        <f t="shared" si="73"/>
        <v>02406911202</v>
      </c>
      <c r="C3225" s="1" t="s">
        <v>13</v>
      </c>
      <c r="D3225" s="1" t="s">
        <v>205</v>
      </c>
      <c r="E3225" s="1" t="s">
        <v>6544</v>
      </c>
      <c r="F3225" s="1" t="s">
        <v>49</v>
      </c>
      <c r="G3225" s="1" t="str">
        <f>"02215801206"</f>
        <v>02215801206</v>
      </c>
      <c r="I3225" s="1" t="s">
        <v>6495</v>
      </c>
      <c r="L3225" s="1" t="s">
        <v>44</v>
      </c>
      <c r="M3225" s="1" t="s">
        <v>2301</v>
      </c>
      <c r="AG3225" s="1" t="s">
        <v>124</v>
      </c>
      <c r="AH3225" s="2">
        <v>44927</v>
      </c>
      <c r="AI3225" s="2">
        <v>45291</v>
      </c>
      <c r="AJ3225" s="2">
        <v>44927</v>
      </c>
    </row>
    <row r="3226" spans="1:36">
      <c r="A3226" s="1" t="str">
        <f>"ZDA3BDD752"</f>
        <v>ZDA3BDD752</v>
      </c>
      <c r="B3226" s="1" t="str">
        <f t="shared" si="73"/>
        <v>02406911202</v>
      </c>
      <c r="C3226" s="1" t="s">
        <v>13</v>
      </c>
      <c r="D3226" s="1" t="s">
        <v>205</v>
      </c>
      <c r="E3226" s="1" t="s">
        <v>6544</v>
      </c>
      <c r="F3226" s="1" t="s">
        <v>49</v>
      </c>
      <c r="G3226" s="1" t="str">
        <f>"02979131204"</f>
        <v>02979131204</v>
      </c>
      <c r="I3226" s="1" t="s">
        <v>5065</v>
      </c>
      <c r="L3226" s="1" t="s">
        <v>44</v>
      </c>
      <c r="M3226" s="1" t="s">
        <v>2301</v>
      </c>
      <c r="AG3226" s="1" t="s">
        <v>124</v>
      </c>
      <c r="AH3226" s="2">
        <v>44927</v>
      </c>
      <c r="AI3226" s="2">
        <v>45291</v>
      </c>
      <c r="AJ3226" s="2">
        <v>44927</v>
      </c>
    </row>
    <row r="3227" spans="1:36">
      <c r="A3227" s="1" t="str">
        <f>"ZA93BDD7D7"</f>
        <v>ZA93BDD7D7</v>
      </c>
      <c r="B3227" s="1" t="str">
        <f t="shared" si="73"/>
        <v>02406911202</v>
      </c>
      <c r="C3227" s="1" t="s">
        <v>13</v>
      </c>
      <c r="D3227" s="1" t="s">
        <v>205</v>
      </c>
      <c r="E3227" s="1" t="s">
        <v>6544</v>
      </c>
      <c r="F3227" s="1" t="s">
        <v>49</v>
      </c>
      <c r="G3227" s="1" t="str">
        <f>"02222621209"</f>
        <v>02222621209</v>
      </c>
      <c r="I3227" s="1" t="s">
        <v>5062</v>
      </c>
      <c r="L3227" s="1" t="s">
        <v>44</v>
      </c>
      <c r="M3227" s="1" t="s">
        <v>2301</v>
      </c>
      <c r="AG3227" s="1" t="s">
        <v>124</v>
      </c>
      <c r="AH3227" s="2">
        <v>44927</v>
      </c>
      <c r="AI3227" s="2">
        <v>45291</v>
      </c>
      <c r="AJ3227" s="2">
        <v>44927</v>
      </c>
    </row>
    <row r="3228" spans="1:36">
      <c r="A3228" s="1" t="str">
        <f>"Z3D3BDD825"</f>
        <v>Z3D3BDD825</v>
      </c>
      <c r="B3228" s="1" t="str">
        <f t="shared" si="73"/>
        <v>02406911202</v>
      </c>
      <c r="C3228" s="1" t="s">
        <v>13</v>
      </c>
      <c r="D3228" s="1" t="s">
        <v>205</v>
      </c>
      <c r="E3228" s="1" t="s">
        <v>6544</v>
      </c>
      <c r="F3228" s="1" t="s">
        <v>49</v>
      </c>
      <c r="G3228" s="1" t="str">
        <f>"02218391205"</f>
        <v>02218391205</v>
      </c>
      <c r="I3228" s="1" t="s">
        <v>5544</v>
      </c>
      <c r="L3228" s="1" t="s">
        <v>44</v>
      </c>
      <c r="M3228" s="1" t="s">
        <v>2301</v>
      </c>
      <c r="AG3228" s="1" t="s">
        <v>124</v>
      </c>
      <c r="AH3228" s="2">
        <v>44927</v>
      </c>
      <c r="AI3228" s="2">
        <v>45291</v>
      </c>
      <c r="AJ3228" s="2">
        <v>44927</v>
      </c>
    </row>
    <row r="3229" spans="1:36">
      <c r="A3229" s="1" t="str">
        <f>"Z7C3BDD875"</f>
        <v>Z7C3BDD875</v>
      </c>
      <c r="B3229" s="1" t="str">
        <f t="shared" si="73"/>
        <v>02406911202</v>
      </c>
      <c r="C3229" s="1" t="s">
        <v>13</v>
      </c>
      <c r="D3229" s="1" t="s">
        <v>205</v>
      </c>
      <c r="E3229" s="1" t="s">
        <v>6544</v>
      </c>
      <c r="F3229" s="1" t="s">
        <v>49</v>
      </c>
      <c r="G3229" s="1" t="str">
        <f>"03988791202"</f>
        <v>03988791202</v>
      </c>
      <c r="I3229" s="1" t="s">
        <v>6411</v>
      </c>
      <c r="L3229" s="1" t="s">
        <v>44</v>
      </c>
      <c r="M3229" s="1" t="s">
        <v>2301</v>
      </c>
      <c r="AG3229" s="1" t="s">
        <v>124</v>
      </c>
      <c r="AH3229" s="2">
        <v>44927</v>
      </c>
      <c r="AI3229" s="2">
        <v>45291</v>
      </c>
      <c r="AJ3229" s="2">
        <v>44927</v>
      </c>
    </row>
    <row r="3230" spans="1:36">
      <c r="A3230" s="1" t="str">
        <f>"991249734C"</f>
        <v>991249734C</v>
      </c>
      <c r="B3230" s="1" t="str">
        <f t="shared" si="73"/>
        <v>02406911202</v>
      </c>
      <c r="C3230" s="1" t="s">
        <v>13</v>
      </c>
      <c r="D3230" s="1" t="s">
        <v>37</v>
      </c>
      <c r="E3230" s="1" t="s">
        <v>6609</v>
      </c>
      <c r="F3230" s="1" t="s">
        <v>117</v>
      </c>
      <c r="G3230" s="1" t="str">
        <f>"00471770016"</f>
        <v>00471770016</v>
      </c>
      <c r="I3230" s="1" t="s">
        <v>2339</v>
      </c>
      <c r="L3230" s="1" t="s">
        <v>44</v>
      </c>
      <c r="M3230" s="1" t="s">
        <v>6610</v>
      </c>
      <c r="AG3230" s="1" t="s">
        <v>124</v>
      </c>
      <c r="AH3230" s="2">
        <v>45105</v>
      </c>
      <c r="AI3230" s="2">
        <v>46022</v>
      </c>
      <c r="AJ3230" s="2">
        <v>45105</v>
      </c>
    </row>
    <row r="3231" spans="1:36">
      <c r="A3231" s="1" t="str">
        <f>"970843452E"</f>
        <v>970843452E</v>
      </c>
      <c r="B3231" s="1" t="str">
        <f t="shared" si="73"/>
        <v>02406911202</v>
      </c>
      <c r="C3231" s="1" t="s">
        <v>13</v>
      </c>
      <c r="D3231" s="1" t="s">
        <v>37</v>
      </c>
      <c r="E3231" s="1" t="s">
        <v>6611</v>
      </c>
      <c r="F3231" s="1" t="s">
        <v>117</v>
      </c>
      <c r="G3231" s="1" t="str">
        <f>"02303440487"</f>
        <v>02303440487</v>
      </c>
      <c r="I3231" s="1" t="s">
        <v>6612</v>
      </c>
      <c r="L3231" s="1" t="s">
        <v>44</v>
      </c>
      <c r="M3231" s="1" t="s">
        <v>6613</v>
      </c>
      <c r="AG3231" s="1" t="s">
        <v>124</v>
      </c>
      <c r="AH3231" s="2">
        <v>45017</v>
      </c>
      <c r="AI3231" s="2">
        <v>46022</v>
      </c>
      <c r="AJ3231" s="2">
        <v>45017</v>
      </c>
    </row>
    <row r="3232" spans="1:36">
      <c r="A3232" s="1" t="str">
        <f>"9909095BDE"</f>
        <v>9909095BDE</v>
      </c>
      <c r="B3232" s="1" t="str">
        <f t="shared" si="73"/>
        <v>02406911202</v>
      </c>
      <c r="C3232" s="1" t="s">
        <v>13</v>
      </c>
      <c r="D3232" s="1" t="s">
        <v>37</v>
      </c>
      <c r="E3232" s="1" t="s">
        <v>6614</v>
      </c>
      <c r="F3232" s="1" t="s">
        <v>117</v>
      </c>
      <c r="G3232" s="1" t="str">
        <f>"01099110999"</f>
        <v>01099110999</v>
      </c>
      <c r="I3232" s="1" t="s">
        <v>2498</v>
      </c>
      <c r="L3232" s="1" t="s">
        <v>44</v>
      </c>
      <c r="M3232" s="1" t="s">
        <v>6615</v>
      </c>
      <c r="AG3232" s="1" t="s">
        <v>124</v>
      </c>
      <c r="AH3232" s="2">
        <v>45105</v>
      </c>
      <c r="AI3232" s="2">
        <v>46022</v>
      </c>
      <c r="AJ3232" s="2">
        <v>45105</v>
      </c>
    </row>
    <row r="3233" spans="1:36">
      <c r="A3233" s="1" t="str">
        <f>"Z3E3BDB22D"</f>
        <v>Z3E3BDB22D</v>
      </c>
      <c r="B3233" s="1" t="str">
        <f t="shared" si="73"/>
        <v>02406911202</v>
      </c>
      <c r="C3233" s="1" t="s">
        <v>13</v>
      </c>
      <c r="D3233" s="1" t="s">
        <v>205</v>
      </c>
      <c r="E3233" s="1" t="s">
        <v>6616</v>
      </c>
      <c r="F3233" s="1" t="s">
        <v>49</v>
      </c>
      <c r="G3233" s="1" t="str">
        <f>"04079431203"</f>
        <v>04079431203</v>
      </c>
      <c r="I3233" s="1" t="s">
        <v>4410</v>
      </c>
      <c r="L3233" s="1" t="s">
        <v>44</v>
      </c>
      <c r="M3233" s="1" t="s">
        <v>2301</v>
      </c>
      <c r="AG3233" s="1" t="s">
        <v>124</v>
      </c>
      <c r="AH3233" s="2">
        <v>44927</v>
      </c>
      <c r="AI3233" s="2">
        <v>45291</v>
      </c>
      <c r="AJ3233" s="2">
        <v>44927</v>
      </c>
    </row>
    <row r="3234" spans="1:36">
      <c r="A3234" s="1" t="str">
        <f>"Z553BDB27E"</f>
        <v>Z553BDB27E</v>
      </c>
      <c r="B3234" s="1" t="str">
        <f t="shared" si="73"/>
        <v>02406911202</v>
      </c>
      <c r="C3234" s="1" t="s">
        <v>13</v>
      </c>
      <c r="D3234" s="1" t="s">
        <v>205</v>
      </c>
      <c r="E3234" s="1" t="s">
        <v>6617</v>
      </c>
      <c r="F3234" s="1" t="s">
        <v>49</v>
      </c>
      <c r="G3234" s="1" t="str">
        <f>"02605701206"</f>
        <v>02605701206</v>
      </c>
      <c r="I3234" s="1" t="s">
        <v>4258</v>
      </c>
      <c r="L3234" s="1" t="s">
        <v>44</v>
      </c>
      <c r="M3234" s="1" t="s">
        <v>2301</v>
      </c>
      <c r="AG3234" s="1" t="s">
        <v>124</v>
      </c>
      <c r="AH3234" s="2">
        <v>44927</v>
      </c>
      <c r="AI3234" s="2">
        <v>45291</v>
      </c>
      <c r="AJ3234" s="2">
        <v>44927</v>
      </c>
    </row>
    <row r="3235" spans="1:36">
      <c r="A3235" s="1" t="str">
        <f>"Z033BDB2F1"</f>
        <v>Z033BDB2F1</v>
      </c>
      <c r="B3235" s="1" t="str">
        <f t="shared" si="73"/>
        <v>02406911202</v>
      </c>
      <c r="C3235" s="1" t="s">
        <v>13</v>
      </c>
      <c r="D3235" s="1" t="s">
        <v>205</v>
      </c>
      <c r="E3235" s="1" t="s">
        <v>6617</v>
      </c>
      <c r="F3235" s="1" t="s">
        <v>49</v>
      </c>
      <c r="G3235" s="1" t="str">
        <f>"01673921209"</f>
        <v>01673921209</v>
      </c>
      <c r="I3235" s="1" t="s">
        <v>5054</v>
      </c>
      <c r="L3235" s="1" t="s">
        <v>44</v>
      </c>
      <c r="M3235" s="1" t="s">
        <v>6595</v>
      </c>
      <c r="AG3235" s="1" t="s">
        <v>124</v>
      </c>
      <c r="AH3235" s="2">
        <v>44927</v>
      </c>
      <c r="AI3235" s="2">
        <v>45291</v>
      </c>
      <c r="AJ3235" s="2">
        <v>44927</v>
      </c>
    </row>
    <row r="3236" spans="1:36">
      <c r="A3236" s="1" t="str">
        <f>"Z763C1154C"</f>
        <v>Z763C1154C</v>
      </c>
      <c r="B3236" s="1" t="str">
        <f t="shared" si="73"/>
        <v>02406911202</v>
      </c>
      <c r="C3236" s="1" t="s">
        <v>13</v>
      </c>
      <c r="D3236" s="1" t="s">
        <v>1312</v>
      </c>
      <c r="E3236" s="1" t="s">
        <v>6618</v>
      </c>
      <c r="F3236" s="1" t="s">
        <v>49</v>
      </c>
      <c r="G3236" s="1" t="str">
        <f>"01725500233"</f>
        <v>01725500233</v>
      </c>
      <c r="I3236" s="1" t="s">
        <v>2797</v>
      </c>
      <c r="L3236" s="1" t="s">
        <v>44</v>
      </c>
      <c r="M3236" s="1" t="s">
        <v>1752</v>
      </c>
      <c r="AG3236" s="1" t="s">
        <v>124</v>
      </c>
      <c r="AH3236" s="2">
        <v>45047</v>
      </c>
      <c r="AI3236" s="2">
        <v>45138</v>
      </c>
      <c r="AJ3236" s="2">
        <v>45047</v>
      </c>
    </row>
    <row r="3237" spans="1:36">
      <c r="A3237" s="1" t="str">
        <f>"Z7F3BDC899"</f>
        <v>Z7F3BDC899</v>
      </c>
      <c r="B3237" s="1" t="str">
        <f t="shared" si="73"/>
        <v>02406911202</v>
      </c>
      <c r="C3237" s="1" t="s">
        <v>13</v>
      </c>
      <c r="D3237" s="1" t="s">
        <v>1257</v>
      </c>
      <c r="E3237" s="1" t="s">
        <v>6619</v>
      </c>
      <c r="F3237" s="1" t="s">
        <v>49</v>
      </c>
      <c r="G3237" s="1" t="str">
        <f>"12268050155"</f>
        <v>12268050155</v>
      </c>
      <c r="I3237" s="1" t="s">
        <v>2596</v>
      </c>
      <c r="L3237" s="1" t="s">
        <v>44</v>
      </c>
      <c r="M3237" s="1" t="s">
        <v>6620</v>
      </c>
      <c r="AG3237" s="1" t="s">
        <v>124</v>
      </c>
      <c r="AH3237" s="2">
        <v>45017</v>
      </c>
      <c r="AI3237" s="2">
        <v>45382</v>
      </c>
      <c r="AJ3237" s="2">
        <v>45017</v>
      </c>
    </row>
    <row r="3238" spans="1:36">
      <c r="A3238" s="1" t="str">
        <f>"ZEC3BDA835"</f>
        <v>ZEC3BDA835</v>
      </c>
      <c r="B3238" s="1" t="str">
        <f t="shared" si="73"/>
        <v>02406911202</v>
      </c>
      <c r="C3238" s="1" t="s">
        <v>13</v>
      </c>
      <c r="D3238" s="1" t="s">
        <v>205</v>
      </c>
      <c r="E3238" s="1" t="s">
        <v>6544</v>
      </c>
      <c r="F3238" s="1" t="s">
        <v>49</v>
      </c>
      <c r="G3238" s="1" t="str">
        <f>"02153830399"</f>
        <v>02153830399</v>
      </c>
      <c r="I3238" s="1" t="s">
        <v>4636</v>
      </c>
      <c r="L3238" s="1" t="s">
        <v>44</v>
      </c>
      <c r="M3238" s="1" t="s">
        <v>6621</v>
      </c>
      <c r="AG3238" s="1" t="s">
        <v>124</v>
      </c>
      <c r="AH3238" s="2">
        <v>44927</v>
      </c>
      <c r="AI3238" s="2">
        <v>45291</v>
      </c>
      <c r="AJ3238" s="2">
        <v>44927</v>
      </c>
    </row>
    <row r="3239" spans="1:36">
      <c r="A3239" s="1" t="str">
        <f>"Z653BDE1F2"</f>
        <v>Z653BDE1F2</v>
      </c>
      <c r="B3239" s="1" t="str">
        <f t="shared" si="73"/>
        <v>02406911202</v>
      </c>
      <c r="C3239" s="1" t="s">
        <v>13</v>
      </c>
      <c r="D3239" s="1" t="s">
        <v>205</v>
      </c>
      <c r="E3239" s="1" t="s">
        <v>6544</v>
      </c>
      <c r="F3239" s="1" t="s">
        <v>49</v>
      </c>
      <c r="G3239" s="1" t="str">
        <f>"00216331207"</f>
        <v>00216331207</v>
      </c>
      <c r="I3239" s="1" t="s">
        <v>5011</v>
      </c>
      <c r="L3239" s="1" t="s">
        <v>44</v>
      </c>
      <c r="M3239" s="1" t="s">
        <v>2301</v>
      </c>
      <c r="AG3239" s="1" t="s">
        <v>124</v>
      </c>
      <c r="AH3239" s="2">
        <v>44927</v>
      </c>
      <c r="AI3239" s="2">
        <v>45291</v>
      </c>
      <c r="AJ3239" s="2">
        <v>44927</v>
      </c>
    </row>
    <row r="3240" spans="1:36">
      <c r="A3240" s="1" t="str">
        <f>"Z3D3BDE3E9"</f>
        <v>Z3D3BDE3E9</v>
      </c>
      <c r="B3240" s="1" t="str">
        <f t="shared" si="73"/>
        <v>02406911202</v>
      </c>
      <c r="C3240" s="1" t="s">
        <v>13</v>
      </c>
      <c r="D3240" s="1" t="s">
        <v>205</v>
      </c>
      <c r="E3240" s="1" t="s">
        <v>6544</v>
      </c>
      <c r="F3240" s="1" t="s">
        <v>49</v>
      </c>
      <c r="G3240" s="1" t="str">
        <f>"03818981205"</f>
        <v>03818981205</v>
      </c>
      <c r="I3240" s="1" t="s">
        <v>5633</v>
      </c>
      <c r="L3240" s="1" t="s">
        <v>44</v>
      </c>
      <c r="M3240" s="1" t="s">
        <v>2301</v>
      </c>
      <c r="AG3240" s="1" t="s">
        <v>124</v>
      </c>
      <c r="AH3240" s="2">
        <v>44927</v>
      </c>
      <c r="AI3240" s="2">
        <v>45291</v>
      </c>
      <c r="AJ3240" s="2">
        <v>44927</v>
      </c>
    </row>
    <row r="3241" spans="1:36">
      <c r="A3241" s="1" t="str">
        <f>"Z8D3BDE4E2"</f>
        <v>Z8D3BDE4E2</v>
      </c>
      <c r="B3241" s="1" t="str">
        <f t="shared" si="73"/>
        <v>02406911202</v>
      </c>
      <c r="C3241" s="1" t="s">
        <v>13</v>
      </c>
      <c r="D3241" s="1" t="s">
        <v>205</v>
      </c>
      <c r="E3241" s="1" t="s">
        <v>6544</v>
      </c>
      <c r="F3241" s="1" t="s">
        <v>49</v>
      </c>
      <c r="G3241" s="1" t="str">
        <f>"01603221209"</f>
        <v>01603221209</v>
      </c>
      <c r="I3241" s="1" t="s">
        <v>5762</v>
      </c>
      <c r="L3241" s="1" t="s">
        <v>44</v>
      </c>
      <c r="M3241" s="1" t="s">
        <v>2301</v>
      </c>
      <c r="AG3241" s="1" t="s">
        <v>124</v>
      </c>
      <c r="AH3241" s="2">
        <v>44927</v>
      </c>
      <c r="AI3241" s="2">
        <v>45291</v>
      </c>
      <c r="AJ3241" s="2">
        <v>44927</v>
      </c>
    </row>
    <row r="3242" spans="1:36">
      <c r="A3242" s="1" t="str">
        <f>"9909368D27"</f>
        <v>9909368D27</v>
      </c>
      <c r="B3242" s="1" t="str">
        <f t="shared" si="73"/>
        <v>02406911202</v>
      </c>
      <c r="C3242" s="1" t="s">
        <v>13</v>
      </c>
      <c r="D3242" s="1" t="s">
        <v>37</v>
      </c>
      <c r="E3242" s="1" t="s">
        <v>6622</v>
      </c>
      <c r="F3242" s="1" t="s">
        <v>117</v>
      </c>
      <c r="G3242" s="1" t="str">
        <f>"01258691003"</f>
        <v>01258691003</v>
      </c>
      <c r="I3242" s="1" t="s">
        <v>2027</v>
      </c>
      <c r="L3242" s="1" t="s">
        <v>44</v>
      </c>
      <c r="M3242" s="1" t="s">
        <v>6623</v>
      </c>
      <c r="AG3242" s="1" t="s">
        <v>124</v>
      </c>
      <c r="AH3242" s="2">
        <v>45105</v>
      </c>
      <c r="AI3242" s="2">
        <v>46022</v>
      </c>
      <c r="AJ3242" s="2">
        <v>45105</v>
      </c>
    </row>
    <row r="3243" spans="1:36">
      <c r="A3243" s="1" t="str">
        <f>"Z3C3BA967A"</f>
        <v>Z3C3BA967A</v>
      </c>
      <c r="B3243" s="1" t="str">
        <f t="shared" si="73"/>
        <v>02406911202</v>
      </c>
      <c r="C3243" s="1" t="s">
        <v>13</v>
      </c>
      <c r="D3243" s="1" t="s">
        <v>37</v>
      </c>
      <c r="E3243" s="1" t="s">
        <v>6624</v>
      </c>
      <c r="F3243" s="1" t="s">
        <v>117</v>
      </c>
      <c r="G3243" s="1" t="str">
        <f>"09225620963"</f>
        <v>09225620963</v>
      </c>
      <c r="I3243" s="1" t="s">
        <v>6625</v>
      </c>
      <c r="L3243" s="1" t="s">
        <v>44</v>
      </c>
      <c r="M3243" s="1" t="s">
        <v>6626</v>
      </c>
      <c r="AG3243" s="1" t="s">
        <v>124</v>
      </c>
      <c r="AH3243" s="2">
        <v>45105</v>
      </c>
      <c r="AI3243" s="2">
        <v>46022</v>
      </c>
      <c r="AJ3243" s="2">
        <v>45105</v>
      </c>
    </row>
    <row r="3244" spans="1:36">
      <c r="A3244" s="1" t="str">
        <f>"9912317EBE"</f>
        <v>9912317EBE</v>
      </c>
      <c r="B3244" s="1" t="str">
        <f t="shared" si="73"/>
        <v>02406911202</v>
      </c>
      <c r="C3244" s="1" t="s">
        <v>13</v>
      </c>
      <c r="D3244" s="1" t="s">
        <v>37</v>
      </c>
      <c r="E3244" s="1" t="s">
        <v>6627</v>
      </c>
      <c r="F3244" s="1" t="s">
        <v>117</v>
      </c>
      <c r="G3244" s="1" t="str">
        <f>"10087630967"</f>
        <v>10087630967</v>
      </c>
      <c r="I3244" s="1" t="s">
        <v>3414</v>
      </c>
      <c r="L3244" s="1" t="s">
        <v>44</v>
      </c>
      <c r="M3244" s="1" t="s">
        <v>6628</v>
      </c>
      <c r="AG3244" s="1" t="s">
        <v>124</v>
      </c>
      <c r="AH3244" s="2">
        <v>45105</v>
      </c>
      <c r="AI3244" s="2">
        <v>46022</v>
      </c>
      <c r="AJ3244" s="2">
        <v>45105</v>
      </c>
    </row>
    <row r="3245" spans="1:36">
      <c r="A3245" s="1" t="str">
        <f>"9909270C48"</f>
        <v>9909270C48</v>
      </c>
      <c r="B3245" s="1" t="str">
        <f t="shared" si="73"/>
        <v>02406911202</v>
      </c>
      <c r="C3245" s="1" t="s">
        <v>13</v>
      </c>
      <c r="D3245" s="1" t="s">
        <v>37</v>
      </c>
      <c r="E3245" s="1" t="s">
        <v>6629</v>
      </c>
      <c r="F3245" s="1" t="s">
        <v>117</v>
      </c>
      <c r="G3245" s="1" t="str">
        <f>"00735390155"</f>
        <v>00735390155</v>
      </c>
      <c r="I3245" s="1" t="s">
        <v>3561</v>
      </c>
      <c r="L3245" s="1" t="s">
        <v>44</v>
      </c>
      <c r="M3245" s="1" t="s">
        <v>6630</v>
      </c>
      <c r="AG3245" s="1" t="s">
        <v>124</v>
      </c>
      <c r="AH3245" s="2">
        <v>45105</v>
      </c>
      <c r="AI3245" s="2">
        <v>46022</v>
      </c>
      <c r="AJ3245" s="2">
        <v>45105</v>
      </c>
    </row>
    <row r="3246" spans="1:36">
      <c r="A3246" s="1" t="str">
        <f>"99098055C9"</f>
        <v>99098055C9</v>
      </c>
      <c r="B3246" s="1" t="str">
        <f t="shared" si="73"/>
        <v>02406911202</v>
      </c>
      <c r="C3246" s="1" t="s">
        <v>13</v>
      </c>
      <c r="D3246" s="1" t="s">
        <v>37</v>
      </c>
      <c r="E3246" s="1" t="s">
        <v>6631</v>
      </c>
      <c r="F3246" s="1" t="s">
        <v>117</v>
      </c>
      <c r="G3246" s="1" t="str">
        <f>"02642020156"</f>
        <v>02642020156</v>
      </c>
      <c r="I3246" s="1" t="s">
        <v>253</v>
      </c>
      <c r="L3246" s="1" t="s">
        <v>44</v>
      </c>
      <c r="M3246" s="1" t="s">
        <v>6632</v>
      </c>
      <c r="AG3246" s="1" t="s">
        <v>124</v>
      </c>
      <c r="AH3246" s="2">
        <v>45105</v>
      </c>
      <c r="AI3246" s="2">
        <v>46022</v>
      </c>
      <c r="AJ3246" s="2">
        <v>45105</v>
      </c>
    </row>
    <row r="3247" spans="1:36">
      <c r="A3247" s="1" t="str">
        <f>"Z6F3BA977A"</f>
        <v>Z6F3BA977A</v>
      </c>
      <c r="B3247" s="1" t="str">
        <f t="shared" si="73"/>
        <v>02406911202</v>
      </c>
      <c r="C3247" s="1" t="s">
        <v>13</v>
      </c>
      <c r="D3247" s="1" t="s">
        <v>37</v>
      </c>
      <c r="E3247" s="1" t="s">
        <v>6633</v>
      </c>
      <c r="F3247" s="1" t="s">
        <v>117</v>
      </c>
      <c r="G3247" s="1" t="str">
        <f>"00228550273"</f>
        <v>00228550273</v>
      </c>
      <c r="I3247" s="1" t="s">
        <v>1717</v>
      </c>
      <c r="L3247" s="1" t="s">
        <v>44</v>
      </c>
      <c r="M3247" s="1" t="s">
        <v>6634</v>
      </c>
      <c r="AG3247" s="1" t="s">
        <v>124</v>
      </c>
      <c r="AH3247" s="2">
        <v>45105</v>
      </c>
      <c r="AI3247" s="2">
        <v>46022</v>
      </c>
      <c r="AJ3247" s="2">
        <v>45105</v>
      </c>
    </row>
    <row r="3248" spans="1:36">
      <c r="A3248" s="1" t="str">
        <f>"9911902848"</f>
        <v>9911902848</v>
      </c>
      <c r="B3248" s="1" t="str">
        <f t="shared" si="73"/>
        <v>02406911202</v>
      </c>
      <c r="C3248" s="1" t="s">
        <v>13</v>
      </c>
      <c r="D3248" s="1" t="s">
        <v>37</v>
      </c>
      <c r="E3248" s="1" t="s">
        <v>6635</v>
      </c>
      <c r="F3248" s="1" t="s">
        <v>117</v>
      </c>
      <c r="G3248" s="1" t="str">
        <f>"02689300123"</f>
        <v>02689300123</v>
      </c>
      <c r="I3248" s="1" t="s">
        <v>2055</v>
      </c>
      <c r="L3248" s="1" t="s">
        <v>44</v>
      </c>
      <c r="M3248" s="1" t="s">
        <v>6636</v>
      </c>
      <c r="AG3248" s="1" t="s">
        <v>124</v>
      </c>
      <c r="AH3248" s="2">
        <v>45105</v>
      </c>
      <c r="AI3248" s="2">
        <v>46022</v>
      </c>
      <c r="AJ3248" s="2">
        <v>45105</v>
      </c>
    </row>
    <row r="3249" spans="1:36">
      <c r="A3249" s="1" t="str">
        <f>"Z593BDA3E2"</f>
        <v>Z593BDA3E2</v>
      </c>
      <c r="B3249" s="1" t="str">
        <f t="shared" si="73"/>
        <v>02406911202</v>
      </c>
      <c r="C3249" s="1" t="s">
        <v>13</v>
      </c>
      <c r="D3249" s="1" t="s">
        <v>205</v>
      </c>
      <c r="E3249" s="1" t="s">
        <v>6544</v>
      </c>
      <c r="F3249" s="1" t="s">
        <v>49</v>
      </c>
      <c r="G3249" s="1" t="str">
        <f>"04271980379"</f>
        <v>04271980379</v>
      </c>
      <c r="I3249" s="1" t="s">
        <v>6216</v>
      </c>
      <c r="L3249" s="1" t="s">
        <v>44</v>
      </c>
      <c r="M3249" s="1" t="s">
        <v>2301</v>
      </c>
      <c r="AG3249" s="1" t="s">
        <v>124</v>
      </c>
      <c r="AH3249" s="2">
        <v>44927</v>
      </c>
      <c r="AI3249" s="2">
        <v>45291</v>
      </c>
      <c r="AJ3249" s="2">
        <v>44927</v>
      </c>
    </row>
    <row r="3250" spans="1:36">
      <c r="A3250" s="1" t="str">
        <f>"Z443BDA41B"</f>
        <v>Z443BDA41B</v>
      </c>
      <c r="B3250" s="1" t="str">
        <f t="shared" si="73"/>
        <v>02406911202</v>
      </c>
      <c r="C3250" s="1" t="s">
        <v>13</v>
      </c>
      <c r="D3250" s="1" t="s">
        <v>205</v>
      </c>
      <c r="E3250" s="1" t="s">
        <v>6544</v>
      </c>
      <c r="F3250" s="1" t="s">
        <v>49</v>
      </c>
      <c r="G3250" s="1" t="str">
        <f>"03950931208"</f>
        <v>03950931208</v>
      </c>
      <c r="I3250" s="1" t="s">
        <v>5139</v>
      </c>
      <c r="L3250" s="1" t="s">
        <v>44</v>
      </c>
      <c r="M3250" s="1" t="s">
        <v>2301</v>
      </c>
      <c r="AG3250" s="1" t="s">
        <v>124</v>
      </c>
      <c r="AH3250" s="2">
        <v>44927</v>
      </c>
      <c r="AI3250" s="2">
        <v>45291</v>
      </c>
      <c r="AJ3250" s="2">
        <v>44927</v>
      </c>
    </row>
    <row r="3251" spans="1:36">
      <c r="A3251" s="1" t="str">
        <f>"Â Z703BDA43"</f>
        <v>Â Z703BDA43</v>
      </c>
      <c r="B3251" s="1" t="str">
        <f t="shared" si="73"/>
        <v>02406911202</v>
      </c>
      <c r="C3251" s="1" t="s">
        <v>13</v>
      </c>
      <c r="D3251" s="1" t="s">
        <v>205</v>
      </c>
      <c r="E3251" s="1" t="s">
        <v>6544</v>
      </c>
      <c r="F3251" s="1" t="s">
        <v>49</v>
      </c>
      <c r="G3251" s="1" t="str">
        <f>"02024381200"</f>
        <v>02024381200</v>
      </c>
      <c r="I3251" s="1" t="s">
        <v>4175</v>
      </c>
      <c r="L3251" s="1" t="s">
        <v>44</v>
      </c>
      <c r="M3251" s="1" t="s">
        <v>2301</v>
      </c>
      <c r="AG3251" s="1" t="s">
        <v>124</v>
      </c>
      <c r="AH3251" s="2">
        <v>44927</v>
      </c>
      <c r="AI3251" s="2">
        <v>45291</v>
      </c>
      <c r="AJ3251" s="2">
        <v>44927</v>
      </c>
    </row>
    <row r="3252" spans="1:36">
      <c r="A3252" s="1" t="str">
        <f>"Z783BDA465"</f>
        <v>Z783BDA465</v>
      </c>
      <c r="B3252" s="1" t="str">
        <f t="shared" si="73"/>
        <v>02406911202</v>
      </c>
      <c r="C3252" s="1" t="s">
        <v>13</v>
      </c>
      <c r="D3252" s="1" t="s">
        <v>205</v>
      </c>
      <c r="E3252" s="1" t="s">
        <v>6544</v>
      </c>
      <c r="F3252" s="1" t="s">
        <v>49</v>
      </c>
      <c r="G3252" s="1" t="str">
        <f>"03073321204"</f>
        <v>03073321204</v>
      </c>
      <c r="I3252" s="1" t="s">
        <v>5424</v>
      </c>
      <c r="L3252" s="1" t="s">
        <v>44</v>
      </c>
      <c r="M3252" s="1" t="s">
        <v>2301</v>
      </c>
      <c r="AG3252" s="1" t="s">
        <v>124</v>
      </c>
      <c r="AH3252" s="2">
        <v>44927</v>
      </c>
      <c r="AI3252" s="2">
        <v>45291</v>
      </c>
      <c r="AJ3252" s="2">
        <v>44927</v>
      </c>
    </row>
    <row r="3253" spans="1:36">
      <c r="A3253" s="1" t="str">
        <f>"Z5B3BDA46C"</f>
        <v>Z5B3BDA46C</v>
      </c>
      <c r="B3253" s="1" t="str">
        <f t="shared" si="73"/>
        <v>02406911202</v>
      </c>
      <c r="C3253" s="1" t="s">
        <v>13</v>
      </c>
      <c r="D3253" s="1" t="s">
        <v>205</v>
      </c>
      <c r="E3253" s="1" t="s">
        <v>6544</v>
      </c>
      <c r="F3253" s="1" t="s">
        <v>49</v>
      </c>
      <c r="G3253" s="1" t="str">
        <f>"04290020371"</f>
        <v>04290020371</v>
      </c>
      <c r="I3253" s="1" t="s">
        <v>6637</v>
      </c>
      <c r="L3253" s="1" t="s">
        <v>44</v>
      </c>
      <c r="M3253" s="1" t="s">
        <v>2301</v>
      </c>
      <c r="AG3253" s="1" t="s">
        <v>124</v>
      </c>
      <c r="AH3253" s="2">
        <v>44927</v>
      </c>
      <c r="AI3253" s="2">
        <v>45291</v>
      </c>
      <c r="AJ3253" s="2">
        <v>44927</v>
      </c>
    </row>
    <row r="3254" spans="1:36">
      <c r="A3254" s="1" t="str">
        <f>"Z5F3BDA485"</f>
        <v>Z5F3BDA485</v>
      </c>
      <c r="B3254" s="1" t="str">
        <f t="shared" si="73"/>
        <v>02406911202</v>
      </c>
      <c r="C3254" s="1" t="s">
        <v>13</v>
      </c>
      <c r="D3254" s="1" t="s">
        <v>205</v>
      </c>
      <c r="E3254" s="1" t="s">
        <v>6544</v>
      </c>
      <c r="F3254" s="1" t="s">
        <v>49</v>
      </c>
      <c r="G3254" s="1" t="str">
        <f>"03161301209"</f>
        <v>03161301209</v>
      </c>
      <c r="I3254" s="1" t="s">
        <v>6188</v>
      </c>
      <c r="L3254" s="1" t="s">
        <v>44</v>
      </c>
      <c r="M3254" s="1" t="s">
        <v>2301</v>
      </c>
      <c r="AG3254" s="1" t="s">
        <v>124</v>
      </c>
      <c r="AH3254" s="2">
        <v>44927</v>
      </c>
      <c r="AI3254" s="2">
        <v>45291</v>
      </c>
      <c r="AJ3254" s="2">
        <v>44927</v>
      </c>
    </row>
    <row r="3255" spans="1:36">
      <c r="A3255" s="1" t="str">
        <f>"Z253BDA493"</f>
        <v>Z253BDA493</v>
      </c>
      <c r="B3255" s="1" t="str">
        <f t="shared" si="73"/>
        <v>02406911202</v>
      </c>
      <c r="C3255" s="1" t="s">
        <v>13</v>
      </c>
      <c r="D3255" s="1" t="s">
        <v>205</v>
      </c>
      <c r="E3255" s="1" t="s">
        <v>6544</v>
      </c>
      <c r="F3255" s="1" t="s">
        <v>49</v>
      </c>
      <c r="G3255" s="1" t="str">
        <f>"02713281208"</f>
        <v>02713281208</v>
      </c>
      <c r="I3255" s="1" t="s">
        <v>5773</v>
      </c>
      <c r="L3255" s="1" t="s">
        <v>44</v>
      </c>
      <c r="M3255" s="1" t="s">
        <v>2301</v>
      </c>
      <c r="AG3255" s="1" t="s">
        <v>124</v>
      </c>
      <c r="AH3255" s="2">
        <v>44927</v>
      </c>
      <c r="AI3255" s="2">
        <v>45291</v>
      </c>
      <c r="AJ3255" s="2">
        <v>44927</v>
      </c>
    </row>
    <row r="3256" spans="1:36">
      <c r="A3256" s="1" t="str">
        <f>"ZC93BDA4A8"</f>
        <v>ZC93BDA4A8</v>
      </c>
      <c r="B3256" s="1" t="str">
        <f t="shared" si="73"/>
        <v>02406911202</v>
      </c>
      <c r="C3256" s="1" t="s">
        <v>13</v>
      </c>
      <c r="D3256" s="1" t="s">
        <v>205</v>
      </c>
      <c r="E3256" s="1" t="s">
        <v>6544</v>
      </c>
      <c r="F3256" s="1" t="s">
        <v>49</v>
      </c>
      <c r="G3256" s="1" t="str">
        <f>"04227440379"</f>
        <v>04227440379</v>
      </c>
      <c r="I3256" s="1" t="s">
        <v>6638</v>
      </c>
      <c r="L3256" s="1" t="s">
        <v>44</v>
      </c>
      <c r="M3256" s="1" t="s">
        <v>2301</v>
      </c>
      <c r="AG3256" s="1" t="s">
        <v>124</v>
      </c>
      <c r="AH3256" s="2">
        <v>44927</v>
      </c>
      <c r="AI3256" s="2">
        <v>45291</v>
      </c>
      <c r="AJ3256" s="2">
        <v>44927</v>
      </c>
    </row>
    <row r="3257" spans="1:36">
      <c r="A3257" s="1" t="str">
        <f>"Z553BDA4C4"</f>
        <v>Z553BDA4C4</v>
      </c>
      <c r="B3257" s="1" t="str">
        <f t="shared" si="73"/>
        <v>02406911202</v>
      </c>
      <c r="C3257" s="1" t="s">
        <v>13</v>
      </c>
      <c r="D3257" s="1" t="s">
        <v>205</v>
      </c>
      <c r="E3257" s="1" t="s">
        <v>6544</v>
      </c>
      <c r="F3257" s="1" t="s">
        <v>49</v>
      </c>
      <c r="G3257" s="1" t="str">
        <f>"01979131206"</f>
        <v>01979131206</v>
      </c>
      <c r="I3257" s="1" t="s">
        <v>6247</v>
      </c>
      <c r="L3257" s="1" t="s">
        <v>44</v>
      </c>
      <c r="M3257" s="1" t="s">
        <v>2301</v>
      </c>
      <c r="AG3257" s="1" t="s">
        <v>124</v>
      </c>
      <c r="AH3257" s="2">
        <v>44927</v>
      </c>
      <c r="AI3257" s="2">
        <v>45291</v>
      </c>
      <c r="AJ3257" s="2">
        <v>44927</v>
      </c>
    </row>
    <row r="3258" spans="1:36">
      <c r="A3258" s="1" t="str">
        <f>"ZB73BDA4B5"</f>
        <v>ZB73BDA4B5</v>
      </c>
      <c r="B3258" s="1" t="str">
        <f t="shared" si="73"/>
        <v>02406911202</v>
      </c>
      <c r="C3258" s="1" t="s">
        <v>13</v>
      </c>
      <c r="D3258" s="1" t="s">
        <v>205</v>
      </c>
      <c r="E3258" s="1" t="s">
        <v>6544</v>
      </c>
      <c r="F3258" s="1" t="s">
        <v>49</v>
      </c>
      <c r="G3258" s="1" t="str">
        <f>"01809291204"</f>
        <v>01809291204</v>
      </c>
      <c r="I3258" s="1" t="s">
        <v>3993</v>
      </c>
      <c r="L3258" s="1" t="s">
        <v>44</v>
      </c>
      <c r="M3258" s="1" t="s">
        <v>6639</v>
      </c>
      <c r="AG3258" s="1" t="s">
        <v>124</v>
      </c>
      <c r="AH3258" s="2">
        <v>44927</v>
      </c>
      <c r="AI3258" s="2">
        <v>45291</v>
      </c>
      <c r="AJ3258" s="2">
        <v>44927</v>
      </c>
    </row>
    <row r="3259" spans="1:36">
      <c r="A3259" s="1" t="str">
        <f>"Z0D3C3DD40"</f>
        <v>Z0D3C3DD40</v>
      </c>
      <c r="B3259" s="1" t="str">
        <f t="shared" si="73"/>
        <v>02406911202</v>
      </c>
      <c r="C3259" s="1" t="s">
        <v>13</v>
      </c>
      <c r="D3259" s="1" t="s">
        <v>1312</v>
      </c>
      <c r="E3259" s="1" t="s">
        <v>6640</v>
      </c>
      <c r="F3259" s="1" t="s">
        <v>49</v>
      </c>
      <c r="G3259" s="1" t="str">
        <f>"08817300158"</f>
        <v>08817300158</v>
      </c>
      <c r="I3259" s="1" t="s">
        <v>2555</v>
      </c>
      <c r="L3259" s="1" t="s">
        <v>44</v>
      </c>
      <c r="M3259" s="1" t="s">
        <v>3943</v>
      </c>
      <c r="AG3259" s="1" t="s">
        <v>124</v>
      </c>
      <c r="AH3259" s="2">
        <v>44927</v>
      </c>
      <c r="AI3259" s="2">
        <v>45291</v>
      </c>
      <c r="AJ3259" s="2">
        <v>44927</v>
      </c>
    </row>
    <row r="3260" spans="1:36">
      <c r="A3260" s="1" t="str">
        <f>"9910902F0C"</f>
        <v>9910902F0C</v>
      </c>
      <c r="B3260" s="1" t="str">
        <f t="shared" si="73"/>
        <v>02406911202</v>
      </c>
      <c r="C3260" s="1" t="s">
        <v>13</v>
      </c>
      <c r="D3260" s="1" t="s">
        <v>37</v>
      </c>
      <c r="E3260" s="1" t="s">
        <v>6641</v>
      </c>
      <c r="F3260" s="1" t="s">
        <v>117</v>
      </c>
      <c r="G3260" s="1" t="str">
        <f>"02385200122"</f>
        <v>02385200122</v>
      </c>
      <c r="I3260" s="1" t="s">
        <v>1929</v>
      </c>
      <c r="L3260" s="1" t="s">
        <v>44</v>
      </c>
      <c r="M3260" s="1" t="s">
        <v>6642</v>
      </c>
      <c r="AG3260" s="1" t="s">
        <v>124</v>
      </c>
      <c r="AH3260" s="2">
        <v>45105</v>
      </c>
      <c r="AI3260" s="2">
        <v>46022</v>
      </c>
      <c r="AJ3260" s="2">
        <v>45105</v>
      </c>
    </row>
    <row r="3261" spans="1:36">
      <c r="A3261" s="1" t="str">
        <f>"Z613BA95AA"</f>
        <v>Z613BA95AA</v>
      </c>
      <c r="B3261" s="1" t="str">
        <f t="shared" si="73"/>
        <v>02406911202</v>
      </c>
      <c r="C3261" s="1" t="s">
        <v>13</v>
      </c>
      <c r="D3261" s="1" t="s">
        <v>37</v>
      </c>
      <c r="E3261" s="1" t="s">
        <v>6643</v>
      </c>
      <c r="F3261" s="1" t="s">
        <v>117</v>
      </c>
      <c r="G3261" s="1" t="str">
        <f>"00674840152"</f>
        <v>00674840152</v>
      </c>
      <c r="I3261" s="1" t="s">
        <v>190</v>
      </c>
      <c r="L3261" s="1" t="s">
        <v>44</v>
      </c>
      <c r="M3261" s="1" t="s">
        <v>6644</v>
      </c>
      <c r="AG3261" s="1" t="s">
        <v>124</v>
      </c>
      <c r="AH3261" s="2">
        <v>45105</v>
      </c>
      <c r="AI3261" s="2">
        <v>46022</v>
      </c>
      <c r="AJ3261" s="2">
        <v>45105</v>
      </c>
    </row>
    <row r="3262" spans="1:36">
      <c r="A3262" s="1" t="str">
        <f>"990955035B"</f>
        <v>990955035B</v>
      </c>
      <c r="B3262" s="1" t="str">
        <f t="shared" si="73"/>
        <v>02406911202</v>
      </c>
      <c r="C3262" s="1" t="s">
        <v>13</v>
      </c>
      <c r="D3262" s="1" t="s">
        <v>37</v>
      </c>
      <c r="E3262" s="1" t="s">
        <v>6645</v>
      </c>
      <c r="F3262" s="1" t="s">
        <v>117</v>
      </c>
      <c r="G3262" s="1" t="str">
        <f>"08023050969"</f>
        <v>08023050969</v>
      </c>
      <c r="I3262" s="1" t="s">
        <v>1622</v>
      </c>
      <c r="L3262" s="1" t="s">
        <v>44</v>
      </c>
      <c r="M3262" s="1" t="s">
        <v>6646</v>
      </c>
      <c r="AG3262" s="1" t="s">
        <v>124</v>
      </c>
      <c r="AH3262" s="2">
        <v>45105</v>
      </c>
      <c r="AI3262" s="2">
        <v>46022</v>
      </c>
      <c r="AJ3262" s="2">
        <v>45105</v>
      </c>
    </row>
    <row r="3263" spans="1:36">
      <c r="A3263" s="1" t="str">
        <f>"9910432B32"</f>
        <v>9910432B32</v>
      </c>
      <c r="B3263" s="1" t="str">
        <f t="shared" si="73"/>
        <v>02406911202</v>
      </c>
      <c r="C3263" s="1" t="s">
        <v>13</v>
      </c>
      <c r="D3263" s="1" t="s">
        <v>37</v>
      </c>
      <c r="E3263" s="1" t="s">
        <v>6647</v>
      </c>
      <c r="F3263" s="1" t="s">
        <v>117</v>
      </c>
      <c r="G3263" s="1" t="str">
        <f>"11271521004"</f>
        <v>11271521004</v>
      </c>
      <c r="I3263" s="1" t="s">
        <v>3355</v>
      </c>
      <c r="L3263" s="1" t="s">
        <v>44</v>
      </c>
      <c r="M3263" s="1" t="s">
        <v>6648</v>
      </c>
      <c r="AG3263" s="1" t="s">
        <v>124</v>
      </c>
      <c r="AH3263" s="2">
        <v>45105</v>
      </c>
      <c r="AI3263" s="2">
        <v>46022</v>
      </c>
      <c r="AJ3263" s="2">
        <v>45105</v>
      </c>
    </row>
    <row r="3264" spans="1:36">
      <c r="A3264" s="1" t="str">
        <f>"9910981042"</f>
        <v>9910981042</v>
      </c>
      <c r="B3264" s="1" t="str">
        <f t="shared" si="73"/>
        <v>02406911202</v>
      </c>
      <c r="C3264" s="1" t="s">
        <v>13</v>
      </c>
      <c r="D3264" s="1" t="s">
        <v>37</v>
      </c>
      <c r="E3264" s="1" t="s">
        <v>6649</v>
      </c>
      <c r="F3264" s="1" t="s">
        <v>117</v>
      </c>
      <c r="G3264" s="1" t="str">
        <f>"01260981004"</f>
        <v>01260981004</v>
      </c>
      <c r="I3264" s="1" t="s">
        <v>2044</v>
      </c>
      <c r="L3264" s="1" t="s">
        <v>44</v>
      </c>
      <c r="M3264" s="1" t="s">
        <v>6650</v>
      </c>
      <c r="AG3264" s="1" t="s">
        <v>124</v>
      </c>
      <c r="AH3264" s="2">
        <v>45105</v>
      </c>
      <c r="AI3264" s="2">
        <v>46022</v>
      </c>
      <c r="AJ3264" s="2">
        <v>45105</v>
      </c>
    </row>
    <row r="3265" spans="1:36">
      <c r="A3265" s="1" t="str">
        <f>"Z153C22828"</f>
        <v>Z153C22828</v>
      </c>
      <c r="B3265" s="1" t="str">
        <f t="shared" si="73"/>
        <v>02406911202</v>
      </c>
      <c r="C3265" s="1" t="s">
        <v>13</v>
      </c>
      <c r="D3265" s="1" t="s">
        <v>1312</v>
      </c>
      <c r="E3265" s="1" t="s">
        <v>6651</v>
      </c>
      <c r="F3265" s="1" t="s">
        <v>49</v>
      </c>
      <c r="G3265" s="1" t="str">
        <f>"01949570384"</f>
        <v>01949570384</v>
      </c>
      <c r="I3265" s="1" t="s">
        <v>6652</v>
      </c>
      <c r="L3265" s="1" t="s">
        <v>44</v>
      </c>
      <c r="M3265" s="1" t="s">
        <v>2256</v>
      </c>
      <c r="AG3265" s="1" t="s">
        <v>124</v>
      </c>
      <c r="AH3265" s="2">
        <v>45078</v>
      </c>
      <c r="AI3265" s="2">
        <v>45142</v>
      </c>
      <c r="AJ3265" s="2">
        <v>45078</v>
      </c>
    </row>
    <row r="3266" spans="1:36">
      <c r="A3266" s="1" t="str">
        <f>"ZF73BE7EF4"</f>
        <v>ZF73BE7EF4</v>
      </c>
      <c r="B3266" s="1" t="str">
        <f t="shared" si="73"/>
        <v>02406911202</v>
      </c>
      <c r="C3266" s="1" t="s">
        <v>13</v>
      </c>
      <c r="D3266" s="1" t="s">
        <v>1312</v>
      </c>
      <c r="E3266" s="1" t="s">
        <v>6653</v>
      </c>
      <c r="F3266" s="1" t="s">
        <v>49</v>
      </c>
      <c r="G3266" s="1" t="str">
        <f>"02719270239"</f>
        <v>02719270239</v>
      </c>
      <c r="I3266" s="1" t="s">
        <v>3359</v>
      </c>
      <c r="L3266" s="1" t="s">
        <v>44</v>
      </c>
      <c r="M3266" s="1" t="s">
        <v>1735</v>
      </c>
      <c r="AG3266" s="1" t="s">
        <v>124</v>
      </c>
      <c r="AH3266" s="2">
        <v>45077</v>
      </c>
      <c r="AI3266" s="2">
        <v>45657</v>
      </c>
      <c r="AJ3266" s="2">
        <v>45077</v>
      </c>
    </row>
    <row r="3267" spans="1:36">
      <c r="A3267" s="1" t="str">
        <f>"ZDC3C04C57"</f>
        <v>ZDC3C04C57</v>
      </c>
      <c r="B3267" s="1" t="str">
        <f t="shared" si="73"/>
        <v>02406911202</v>
      </c>
      <c r="C3267" s="1" t="s">
        <v>13</v>
      </c>
      <c r="D3267" s="1" t="s">
        <v>1741</v>
      </c>
      <c r="E3267" s="1" t="s">
        <v>6654</v>
      </c>
      <c r="F3267" s="1" t="s">
        <v>49</v>
      </c>
      <c r="H3267" s="1" t="str">
        <f>"142021122"</f>
        <v>142021122</v>
      </c>
      <c r="I3267" s="1" t="s">
        <v>6655</v>
      </c>
      <c r="L3267" s="1" t="s">
        <v>44</v>
      </c>
      <c r="M3267" s="1" t="s">
        <v>6656</v>
      </c>
      <c r="AG3267" s="1" t="s">
        <v>124</v>
      </c>
      <c r="AH3267" s="2">
        <v>45102</v>
      </c>
      <c r="AI3267" s="2">
        <v>45291</v>
      </c>
      <c r="AJ3267" s="2">
        <v>45102</v>
      </c>
    </row>
    <row r="3268" spans="1:36">
      <c r="A3268" s="1" t="str">
        <f>"ZBA3BB4D78"</f>
        <v>ZBA3BB4D78</v>
      </c>
      <c r="B3268" s="1" t="str">
        <f t="shared" si="73"/>
        <v>02406911202</v>
      </c>
      <c r="C3268" s="1" t="s">
        <v>13</v>
      </c>
      <c r="D3268" s="1" t="s">
        <v>1257</v>
      </c>
      <c r="E3268" s="1" t="s">
        <v>6657</v>
      </c>
      <c r="F3268" s="1" t="s">
        <v>49</v>
      </c>
      <c r="G3268" s="1" t="str">
        <f>"00897041000"</f>
        <v>00897041000</v>
      </c>
      <c r="I3268" s="1" t="s">
        <v>6658</v>
      </c>
      <c r="L3268" s="1" t="s">
        <v>44</v>
      </c>
      <c r="M3268" s="1" t="s">
        <v>6659</v>
      </c>
      <c r="AG3268" s="1" t="s">
        <v>124</v>
      </c>
      <c r="AH3268" s="2">
        <v>45104</v>
      </c>
      <c r="AI3268" s="2">
        <v>45182</v>
      </c>
      <c r="AJ3268" s="2">
        <v>45104</v>
      </c>
    </row>
    <row r="3269" spans="1:36">
      <c r="A3269" s="1" t="str">
        <f>"9949535804"</f>
        <v>9949535804</v>
      </c>
      <c r="B3269" s="1" t="str">
        <f t="shared" si="73"/>
        <v>02406911202</v>
      </c>
      <c r="C3269" s="1" t="s">
        <v>13</v>
      </c>
      <c r="D3269" s="1" t="s">
        <v>205</v>
      </c>
      <c r="E3269" s="1" t="s">
        <v>6660</v>
      </c>
      <c r="F3269" s="1" t="s">
        <v>39</v>
      </c>
      <c r="G3269" s="1" t="str">
        <f>"03809071206"</f>
        <v>03809071206</v>
      </c>
      <c r="I3269" s="1" t="s">
        <v>6661</v>
      </c>
      <c r="L3269" s="1" t="s">
        <v>44</v>
      </c>
      <c r="M3269" s="1" t="s">
        <v>6662</v>
      </c>
      <c r="AG3269" s="1" t="s">
        <v>6663</v>
      </c>
      <c r="AH3269" s="2">
        <v>45078</v>
      </c>
      <c r="AI3269" s="2">
        <v>45657</v>
      </c>
      <c r="AJ3269" s="2">
        <v>45078</v>
      </c>
    </row>
    <row r="3270" spans="1:36">
      <c r="A3270" s="1" t="str">
        <f>"ZF23BDB692"</f>
        <v>ZF23BDB692</v>
      </c>
      <c r="B3270" s="1" t="str">
        <f t="shared" ref="B3270:B3333" si="74">"02406911202"</f>
        <v>02406911202</v>
      </c>
      <c r="C3270" s="1" t="s">
        <v>13</v>
      </c>
      <c r="D3270" s="1" t="s">
        <v>205</v>
      </c>
      <c r="E3270" s="1" t="s">
        <v>6617</v>
      </c>
      <c r="F3270" s="1" t="s">
        <v>49</v>
      </c>
      <c r="G3270" s="1" t="str">
        <f>"01812801205"</f>
        <v>01812801205</v>
      </c>
      <c r="I3270" s="1" t="s">
        <v>4890</v>
      </c>
      <c r="L3270" s="1" t="s">
        <v>44</v>
      </c>
      <c r="M3270" s="1" t="s">
        <v>2301</v>
      </c>
      <c r="AG3270" s="1" t="s">
        <v>124</v>
      </c>
      <c r="AH3270" s="2">
        <v>44927</v>
      </c>
      <c r="AI3270" s="2">
        <v>45291</v>
      </c>
      <c r="AJ3270" s="2">
        <v>44927</v>
      </c>
    </row>
    <row r="3271" spans="1:36">
      <c r="A3271" s="1" t="str">
        <f>"ZD23BDB6C5"</f>
        <v>ZD23BDB6C5</v>
      </c>
      <c r="B3271" s="1" t="str">
        <f t="shared" si="74"/>
        <v>02406911202</v>
      </c>
      <c r="C3271" s="1" t="s">
        <v>13</v>
      </c>
      <c r="D3271" s="1" t="s">
        <v>205</v>
      </c>
      <c r="E3271" s="1" t="s">
        <v>6664</v>
      </c>
      <c r="F3271" s="1" t="s">
        <v>49</v>
      </c>
      <c r="G3271" s="1" t="str">
        <f>"04149030373"</f>
        <v>04149030373</v>
      </c>
      <c r="I3271" s="1" t="s">
        <v>5977</v>
      </c>
      <c r="L3271" s="1" t="s">
        <v>44</v>
      </c>
      <c r="M3271" s="1" t="s">
        <v>2301</v>
      </c>
      <c r="AG3271" s="1" t="s">
        <v>124</v>
      </c>
      <c r="AH3271" s="2">
        <v>44927</v>
      </c>
      <c r="AI3271" s="2">
        <v>45291</v>
      </c>
      <c r="AJ3271" s="2">
        <v>44927</v>
      </c>
    </row>
    <row r="3272" spans="1:36">
      <c r="A3272" s="1" t="str">
        <f>"9984947EEA"</f>
        <v>9984947EEA</v>
      </c>
      <c r="B3272" s="1" t="str">
        <f t="shared" si="74"/>
        <v>02406911202</v>
      </c>
      <c r="C3272" s="1" t="s">
        <v>13</v>
      </c>
      <c r="D3272" s="1" t="s">
        <v>37</v>
      </c>
      <c r="E3272" s="1" t="s">
        <v>6665</v>
      </c>
      <c r="F3272" s="1" t="s">
        <v>39</v>
      </c>
      <c r="G3272" s="1" t="str">
        <f>"02119100358"</f>
        <v>02119100358</v>
      </c>
      <c r="I3272" s="1" t="s">
        <v>5590</v>
      </c>
      <c r="L3272" s="1" t="s">
        <v>44</v>
      </c>
      <c r="M3272" s="1" t="s">
        <v>6666</v>
      </c>
      <c r="AG3272" s="1" t="s">
        <v>124</v>
      </c>
      <c r="AH3272" s="2">
        <v>45078</v>
      </c>
      <c r="AI3272" s="2">
        <v>45808</v>
      </c>
      <c r="AJ3272" s="2">
        <v>45078</v>
      </c>
    </row>
    <row r="3273" spans="1:36">
      <c r="A3273" s="1" t="str">
        <f>"Z913C5E433"</f>
        <v>Z913C5E433</v>
      </c>
      <c r="B3273" s="1" t="str">
        <f t="shared" si="74"/>
        <v>02406911202</v>
      </c>
      <c r="C3273" s="1" t="s">
        <v>13</v>
      </c>
      <c r="D3273" s="1" t="s">
        <v>205</v>
      </c>
      <c r="E3273" s="1" t="s">
        <v>6667</v>
      </c>
      <c r="F3273" s="1" t="s">
        <v>49</v>
      </c>
      <c r="G3273" s="1" t="str">
        <f>"03458971201"</f>
        <v>03458971201</v>
      </c>
      <c r="I3273" s="1" t="s">
        <v>6668</v>
      </c>
      <c r="L3273" s="1" t="s">
        <v>44</v>
      </c>
      <c r="M3273" s="1" t="s">
        <v>103</v>
      </c>
      <c r="AG3273" s="1" t="s">
        <v>124</v>
      </c>
      <c r="AH3273" s="2">
        <v>44927</v>
      </c>
      <c r="AI3273" s="2">
        <v>45291</v>
      </c>
      <c r="AJ3273" s="2">
        <v>44927</v>
      </c>
    </row>
    <row r="3274" spans="1:36">
      <c r="A3274" s="1" t="str">
        <f>"ZA43BF1EF3"</f>
        <v>ZA43BF1EF3</v>
      </c>
      <c r="B3274" s="1" t="str">
        <f t="shared" si="74"/>
        <v>02406911202</v>
      </c>
      <c r="C3274" s="1" t="s">
        <v>13</v>
      </c>
      <c r="D3274" s="1" t="s">
        <v>205</v>
      </c>
      <c r="E3274" s="1" t="s">
        <v>1686</v>
      </c>
      <c r="F3274" s="1" t="s">
        <v>39</v>
      </c>
      <c r="G3274" s="1" t="str">
        <f>"02640430340"</f>
        <v>02640430340</v>
      </c>
      <c r="I3274" s="1" t="s">
        <v>6669</v>
      </c>
      <c r="L3274" s="1" t="s">
        <v>44</v>
      </c>
      <c r="M3274" s="1" t="s">
        <v>917</v>
      </c>
      <c r="AG3274" s="1" t="s">
        <v>124</v>
      </c>
      <c r="AH3274" s="2">
        <v>44927</v>
      </c>
      <c r="AI3274" s="2">
        <v>45291</v>
      </c>
      <c r="AJ3274" s="2">
        <v>44927</v>
      </c>
    </row>
    <row r="3275" spans="1:36">
      <c r="A3275" s="1" t="str">
        <f>"Z123BDB6FC"</f>
        <v>Z123BDB6FC</v>
      </c>
      <c r="B3275" s="1" t="str">
        <f t="shared" si="74"/>
        <v>02406911202</v>
      </c>
      <c r="C3275" s="1" t="s">
        <v>13</v>
      </c>
      <c r="D3275" s="1" t="s">
        <v>205</v>
      </c>
      <c r="E3275" s="1" t="s">
        <v>6544</v>
      </c>
      <c r="F3275" s="1" t="s">
        <v>49</v>
      </c>
      <c r="G3275" s="1" t="str">
        <f>"02715621203"</f>
        <v>02715621203</v>
      </c>
      <c r="I3275" s="1" t="s">
        <v>5223</v>
      </c>
      <c r="L3275" s="1" t="s">
        <v>44</v>
      </c>
      <c r="M3275" s="1" t="s">
        <v>6595</v>
      </c>
      <c r="AG3275" s="1" t="s">
        <v>124</v>
      </c>
      <c r="AH3275" s="2">
        <v>44927</v>
      </c>
      <c r="AI3275" s="2">
        <v>45291</v>
      </c>
      <c r="AJ3275" s="2">
        <v>44927</v>
      </c>
    </row>
    <row r="3276" spans="1:36">
      <c r="A3276" s="1" t="str">
        <f>"995353903B"</f>
        <v>995353903B</v>
      </c>
      <c r="B3276" s="1" t="str">
        <f t="shared" si="74"/>
        <v>02406911202</v>
      </c>
      <c r="C3276" s="1" t="s">
        <v>13</v>
      </c>
      <c r="D3276" s="1" t="s">
        <v>37</v>
      </c>
      <c r="E3276" s="1" t="s">
        <v>6670</v>
      </c>
      <c r="F3276" s="1" t="s">
        <v>39</v>
      </c>
      <c r="G3276" s="1" t="str">
        <f>"06814140965"</f>
        <v>06814140965</v>
      </c>
      <c r="I3276" s="1" t="s">
        <v>550</v>
      </c>
      <c r="L3276" s="1" t="s">
        <v>44</v>
      </c>
      <c r="M3276" s="1" t="s">
        <v>6671</v>
      </c>
      <c r="AG3276" s="1" t="s">
        <v>124</v>
      </c>
      <c r="AH3276" s="2">
        <v>45047</v>
      </c>
      <c r="AI3276" s="2">
        <v>46142</v>
      </c>
      <c r="AJ3276" s="2">
        <v>45047</v>
      </c>
    </row>
    <row r="3277" spans="1:36">
      <c r="A3277" s="1" t="str">
        <f>"Z913BDD355"</f>
        <v>Z913BDD355</v>
      </c>
      <c r="B3277" s="1" t="str">
        <f t="shared" si="74"/>
        <v>02406911202</v>
      </c>
      <c r="C3277" s="1" t="s">
        <v>13</v>
      </c>
      <c r="D3277" s="1" t="s">
        <v>205</v>
      </c>
      <c r="E3277" s="1" t="s">
        <v>6544</v>
      </c>
      <c r="F3277" s="1" t="s">
        <v>49</v>
      </c>
      <c r="G3277" s="1" t="str">
        <f>"01844201200"</f>
        <v>01844201200</v>
      </c>
      <c r="I3277" s="1" t="s">
        <v>4406</v>
      </c>
      <c r="L3277" s="1" t="s">
        <v>44</v>
      </c>
      <c r="M3277" s="1" t="s">
        <v>2301</v>
      </c>
      <c r="AG3277" s="1" t="s">
        <v>124</v>
      </c>
      <c r="AH3277" s="2">
        <v>44927</v>
      </c>
      <c r="AI3277" s="2">
        <v>45291</v>
      </c>
      <c r="AJ3277" s="2">
        <v>44927</v>
      </c>
    </row>
    <row r="3278" spans="1:36">
      <c r="A3278" s="1" t="str">
        <f>"ZB63BDD380"</f>
        <v>ZB63BDD380</v>
      </c>
      <c r="B3278" s="1" t="str">
        <f t="shared" si="74"/>
        <v>02406911202</v>
      </c>
      <c r="C3278" s="1" t="s">
        <v>13</v>
      </c>
      <c r="D3278" s="1" t="s">
        <v>205</v>
      </c>
      <c r="E3278" s="1" t="s">
        <v>6544</v>
      </c>
      <c r="F3278" s="1" t="s">
        <v>49</v>
      </c>
      <c r="G3278" s="1" t="str">
        <f>"01572351201"</f>
        <v>01572351201</v>
      </c>
      <c r="I3278" s="1" t="s">
        <v>5528</v>
      </c>
      <c r="L3278" s="1" t="s">
        <v>44</v>
      </c>
      <c r="M3278" s="1" t="s">
        <v>2301</v>
      </c>
      <c r="AG3278" s="1" t="s">
        <v>124</v>
      </c>
      <c r="AH3278" s="2">
        <v>44927</v>
      </c>
      <c r="AI3278" s="2">
        <v>45291</v>
      </c>
      <c r="AJ3278" s="2">
        <v>44927</v>
      </c>
    </row>
    <row r="3279" spans="1:36">
      <c r="A3279" s="1" t="str">
        <f>"Z6B3BDD3E0"</f>
        <v>Z6B3BDD3E0</v>
      </c>
      <c r="B3279" s="1" t="str">
        <f t="shared" si="74"/>
        <v>02406911202</v>
      </c>
      <c r="C3279" s="1" t="s">
        <v>13</v>
      </c>
      <c r="D3279" s="1" t="s">
        <v>205</v>
      </c>
      <c r="E3279" s="1" t="s">
        <v>6544</v>
      </c>
      <c r="F3279" s="1" t="s">
        <v>49</v>
      </c>
      <c r="G3279" s="1" t="str">
        <f>"03077801201"</f>
        <v>03077801201</v>
      </c>
      <c r="I3279" s="1" t="s">
        <v>6056</v>
      </c>
      <c r="L3279" s="1" t="s">
        <v>44</v>
      </c>
      <c r="M3279" s="1" t="s">
        <v>2301</v>
      </c>
      <c r="AG3279" s="1" t="s">
        <v>124</v>
      </c>
      <c r="AH3279" s="2">
        <v>44927</v>
      </c>
      <c r="AI3279" s="2">
        <v>45291</v>
      </c>
      <c r="AJ3279" s="2">
        <v>44927</v>
      </c>
    </row>
    <row r="3280" spans="1:36">
      <c r="A3280" s="1" t="str">
        <f>"Z7B3BDD444"</f>
        <v>Z7B3BDD444</v>
      </c>
      <c r="B3280" s="1" t="str">
        <f t="shared" si="74"/>
        <v>02406911202</v>
      </c>
      <c r="C3280" s="1" t="s">
        <v>13</v>
      </c>
      <c r="D3280" s="1" t="s">
        <v>205</v>
      </c>
      <c r="E3280" s="1" t="s">
        <v>6544</v>
      </c>
      <c r="F3280" s="1" t="s">
        <v>49</v>
      </c>
      <c r="G3280" s="1" t="str">
        <f>"02180651206"</f>
        <v>02180651206</v>
      </c>
      <c r="I3280" s="1" t="s">
        <v>4656</v>
      </c>
      <c r="L3280" s="1" t="s">
        <v>44</v>
      </c>
      <c r="M3280" s="1" t="s">
        <v>2301</v>
      </c>
      <c r="AG3280" s="1" t="s">
        <v>124</v>
      </c>
      <c r="AH3280" s="2">
        <v>44927</v>
      </c>
      <c r="AI3280" s="2">
        <v>45291</v>
      </c>
      <c r="AJ3280" s="2">
        <v>44927</v>
      </c>
    </row>
    <row r="3281" spans="1:36">
      <c r="A3281" s="1" t="str">
        <f>"ZD33BDD474"</f>
        <v>ZD33BDD474</v>
      </c>
      <c r="B3281" s="1" t="str">
        <f t="shared" si="74"/>
        <v>02406911202</v>
      </c>
      <c r="C3281" s="1" t="s">
        <v>13</v>
      </c>
      <c r="D3281" s="1" t="s">
        <v>205</v>
      </c>
      <c r="E3281" s="1" t="s">
        <v>6544</v>
      </c>
      <c r="F3281" s="1" t="s">
        <v>49</v>
      </c>
      <c r="G3281" s="1" t="str">
        <f>"03066341201"</f>
        <v>03066341201</v>
      </c>
      <c r="I3281" s="1" t="s">
        <v>6049</v>
      </c>
      <c r="L3281" s="1" t="s">
        <v>44</v>
      </c>
      <c r="M3281" s="1" t="s">
        <v>2301</v>
      </c>
      <c r="AG3281" s="1" t="s">
        <v>124</v>
      </c>
      <c r="AH3281" s="2">
        <v>44927</v>
      </c>
      <c r="AI3281" s="2">
        <v>45291</v>
      </c>
      <c r="AJ3281" s="2">
        <v>44927</v>
      </c>
    </row>
    <row r="3282" spans="1:36">
      <c r="A3282" s="1" t="str">
        <f>"ZD03BDD4A0"</f>
        <v>ZD03BDD4A0</v>
      </c>
      <c r="B3282" s="1" t="str">
        <f t="shared" si="74"/>
        <v>02406911202</v>
      </c>
      <c r="C3282" s="1" t="s">
        <v>13</v>
      </c>
      <c r="D3282" s="1" t="s">
        <v>205</v>
      </c>
      <c r="E3282" s="1" t="s">
        <v>6544</v>
      </c>
      <c r="F3282" s="1" t="s">
        <v>49</v>
      </c>
      <c r="G3282" s="1" t="str">
        <f>"00418651204"</f>
        <v>00418651204</v>
      </c>
      <c r="I3282" s="1" t="s">
        <v>5548</v>
      </c>
      <c r="L3282" s="1" t="s">
        <v>44</v>
      </c>
      <c r="M3282" s="1" t="s">
        <v>2301</v>
      </c>
      <c r="AG3282" s="1" t="s">
        <v>124</v>
      </c>
      <c r="AH3282" s="2">
        <v>44927</v>
      </c>
      <c r="AI3282" s="2">
        <v>45291</v>
      </c>
      <c r="AJ3282" s="2">
        <v>44927</v>
      </c>
    </row>
    <row r="3283" spans="1:36">
      <c r="A3283" s="1" t="str">
        <f>"Z953BDD564"</f>
        <v>Z953BDD564</v>
      </c>
      <c r="B3283" s="1" t="str">
        <f t="shared" si="74"/>
        <v>02406911202</v>
      </c>
      <c r="C3283" s="1" t="s">
        <v>13</v>
      </c>
      <c r="D3283" s="1" t="s">
        <v>205</v>
      </c>
      <c r="E3283" s="1" t="s">
        <v>6544</v>
      </c>
      <c r="F3283" s="1" t="s">
        <v>49</v>
      </c>
      <c r="G3283" s="1" t="str">
        <f>"03112611201"</f>
        <v>03112611201</v>
      </c>
      <c r="I3283" s="1" t="s">
        <v>6403</v>
      </c>
      <c r="L3283" s="1" t="s">
        <v>44</v>
      </c>
      <c r="M3283" s="1" t="s">
        <v>2301</v>
      </c>
      <c r="AG3283" s="1" t="s">
        <v>124</v>
      </c>
      <c r="AH3283" s="2">
        <v>44927</v>
      </c>
      <c r="AI3283" s="2">
        <v>45291</v>
      </c>
      <c r="AJ3283" s="2">
        <v>44927</v>
      </c>
    </row>
    <row r="3284" spans="1:36">
      <c r="A3284" s="1" t="str">
        <f>"ZDC3BDB686"</f>
        <v>ZDC3BDB686</v>
      </c>
      <c r="B3284" s="1" t="str">
        <f t="shared" si="74"/>
        <v>02406911202</v>
      </c>
      <c r="C3284" s="1" t="s">
        <v>13</v>
      </c>
      <c r="D3284" s="1" t="s">
        <v>205</v>
      </c>
      <c r="E3284" s="1" t="s">
        <v>6672</v>
      </c>
      <c r="F3284" s="1" t="s">
        <v>49</v>
      </c>
      <c r="G3284" s="1" t="str">
        <f>"04078051200"</f>
        <v>04078051200</v>
      </c>
      <c r="I3284" s="1" t="s">
        <v>6096</v>
      </c>
      <c r="L3284" s="1" t="s">
        <v>44</v>
      </c>
      <c r="M3284" s="1" t="s">
        <v>2301</v>
      </c>
      <c r="AG3284" s="1" t="s">
        <v>124</v>
      </c>
      <c r="AH3284" s="2">
        <v>44927</v>
      </c>
      <c r="AI3284" s="2">
        <v>45291</v>
      </c>
      <c r="AJ3284" s="2">
        <v>44927</v>
      </c>
    </row>
    <row r="3285" spans="1:36">
      <c r="A3285" s="1" t="str">
        <f>"Z653B9CEBA"</f>
        <v>Z653B9CEBA</v>
      </c>
      <c r="B3285" s="1" t="str">
        <f t="shared" si="74"/>
        <v>02406911202</v>
      </c>
      <c r="C3285" s="1" t="s">
        <v>13</v>
      </c>
      <c r="D3285" s="1" t="s">
        <v>37</v>
      </c>
      <c r="E3285" s="1" t="s">
        <v>6673</v>
      </c>
      <c r="F3285" s="1" t="s">
        <v>39</v>
      </c>
      <c r="G3285" s="1" t="str">
        <f>"03645691209"</f>
        <v>03645691209</v>
      </c>
      <c r="I3285" s="1" t="s">
        <v>6674</v>
      </c>
      <c r="L3285" s="1" t="s">
        <v>44</v>
      </c>
      <c r="M3285" s="1" t="s">
        <v>6675</v>
      </c>
      <c r="AG3285" s="1" t="s">
        <v>124</v>
      </c>
      <c r="AH3285" s="2">
        <v>45098</v>
      </c>
      <c r="AI3285" s="2">
        <v>45291</v>
      </c>
      <c r="AJ3285" s="2">
        <v>45098</v>
      </c>
    </row>
    <row r="3286" spans="1:36">
      <c r="A3286" s="1" t="str">
        <f>"ZC93BDB35D"</f>
        <v>ZC93BDB35D</v>
      </c>
      <c r="B3286" s="1" t="str">
        <f t="shared" si="74"/>
        <v>02406911202</v>
      </c>
      <c r="C3286" s="1" t="s">
        <v>13</v>
      </c>
      <c r="D3286" s="1" t="s">
        <v>205</v>
      </c>
      <c r="E3286" s="1" t="s">
        <v>6676</v>
      </c>
      <c r="F3286" s="1" t="s">
        <v>49</v>
      </c>
      <c r="G3286" s="1" t="str">
        <f>"02716431206"</f>
        <v>02716431206</v>
      </c>
      <c r="I3286" s="1" t="s">
        <v>5777</v>
      </c>
      <c r="L3286" s="1" t="s">
        <v>44</v>
      </c>
      <c r="M3286" s="1" t="s">
        <v>2301</v>
      </c>
      <c r="AG3286" s="1" t="s">
        <v>124</v>
      </c>
      <c r="AH3286" s="2">
        <v>44927</v>
      </c>
      <c r="AI3286" s="2">
        <v>45291</v>
      </c>
      <c r="AJ3286" s="2">
        <v>44927</v>
      </c>
    </row>
    <row r="3287" spans="1:36">
      <c r="A3287" s="1" t="str">
        <f>"ZF93BDB38E"</f>
        <v>ZF93BDB38E</v>
      </c>
      <c r="B3287" s="1" t="str">
        <f t="shared" si="74"/>
        <v>02406911202</v>
      </c>
      <c r="C3287" s="1" t="s">
        <v>13</v>
      </c>
      <c r="D3287" s="1" t="s">
        <v>205</v>
      </c>
      <c r="E3287" s="1" t="s">
        <v>6617</v>
      </c>
      <c r="F3287" s="1" t="s">
        <v>49</v>
      </c>
      <c r="G3287" s="1" t="str">
        <f>"03252131200"</f>
        <v>03252131200</v>
      </c>
      <c r="I3287" s="1" t="s">
        <v>5390</v>
      </c>
      <c r="L3287" s="1" t="s">
        <v>44</v>
      </c>
      <c r="M3287" s="1" t="s">
        <v>2301</v>
      </c>
      <c r="AG3287" s="1" t="s">
        <v>124</v>
      </c>
      <c r="AH3287" s="2">
        <v>44927</v>
      </c>
      <c r="AI3287" s="2">
        <v>45291</v>
      </c>
      <c r="AJ3287" s="2">
        <v>44927</v>
      </c>
    </row>
    <row r="3288" spans="1:36">
      <c r="A3288" s="1" t="str">
        <f>"ZEF3BDB3CD"</f>
        <v>ZEF3BDB3CD</v>
      </c>
      <c r="B3288" s="1" t="str">
        <f t="shared" si="74"/>
        <v>02406911202</v>
      </c>
      <c r="C3288" s="1" t="s">
        <v>13</v>
      </c>
      <c r="D3288" s="1" t="s">
        <v>205</v>
      </c>
      <c r="E3288" s="1" t="s">
        <v>6617</v>
      </c>
      <c r="F3288" s="1" t="s">
        <v>49</v>
      </c>
      <c r="G3288" s="1" t="str">
        <f>"02403411206"</f>
        <v>02403411206</v>
      </c>
      <c r="I3288" s="1" t="s">
        <v>5769</v>
      </c>
      <c r="L3288" s="1" t="s">
        <v>44</v>
      </c>
      <c r="M3288" s="1" t="s">
        <v>2301</v>
      </c>
      <c r="AG3288" s="1" t="s">
        <v>124</v>
      </c>
      <c r="AH3288" s="2">
        <v>44927</v>
      </c>
      <c r="AI3288" s="2">
        <v>45291</v>
      </c>
      <c r="AJ3288" s="2">
        <v>44927</v>
      </c>
    </row>
    <row r="3289" spans="1:36">
      <c r="A3289" s="1" t="str">
        <f>"Z6E3BDB454"</f>
        <v>Z6E3BDB454</v>
      </c>
      <c r="B3289" s="1" t="str">
        <f t="shared" si="74"/>
        <v>02406911202</v>
      </c>
      <c r="C3289" s="1" t="s">
        <v>13</v>
      </c>
      <c r="D3289" s="1" t="s">
        <v>205</v>
      </c>
      <c r="E3289" s="1" t="s">
        <v>6617</v>
      </c>
      <c r="F3289" s="1" t="s">
        <v>49</v>
      </c>
      <c r="G3289" s="1" t="str">
        <f>"03258741200"</f>
        <v>03258741200</v>
      </c>
      <c r="I3289" s="1" t="s">
        <v>5401</v>
      </c>
      <c r="L3289" s="1" t="s">
        <v>44</v>
      </c>
      <c r="M3289" s="1" t="s">
        <v>2301</v>
      </c>
      <c r="AG3289" s="1" t="s">
        <v>124</v>
      </c>
      <c r="AH3289" s="2">
        <v>44927</v>
      </c>
      <c r="AI3289" s="2">
        <v>45291</v>
      </c>
      <c r="AJ3289" s="2">
        <v>44927</v>
      </c>
    </row>
    <row r="3290" spans="1:36">
      <c r="A3290" s="1" t="str">
        <f>"Z683BDB4AC"</f>
        <v>Z683BDB4AC</v>
      </c>
      <c r="B3290" s="1" t="str">
        <f t="shared" si="74"/>
        <v>02406911202</v>
      </c>
      <c r="C3290" s="1" t="s">
        <v>13</v>
      </c>
      <c r="D3290" s="1" t="s">
        <v>205</v>
      </c>
      <c r="E3290" s="1" t="s">
        <v>6617</v>
      </c>
      <c r="F3290" s="1" t="s">
        <v>49</v>
      </c>
      <c r="G3290" s="1" t="str">
        <f>"03901871206"</f>
        <v>03901871206</v>
      </c>
      <c r="I3290" s="1" t="s">
        <v>5666</v>
      </c>
      <c r="L3290" s="1" t="s">
        <v>44</v>
      </c>
      <c r="M3290" s="1" t="s">
        <v>2301</v>
      </c>
      <c r="AG3290" s="1" t="s">
        <v>124</v>
      </c>
      <c r="AH3290" s="2">
        <v>44927</v>
      </c>
      <c r="AI3290" s="2">
        <v>45291</v>
      </c>
      <c r="AJ3290" s="2">
        <v>44927</v>
      </c>
    </row>
    <row r="3291" spans="1:36">
      <c r="A3291" s="1" t="str">
        <f>"Z073BDB500"</f>
        <v>Z073BDB500</v>
      </c>
      <c r="B3291" s="1" t="str">
        <f t="shared" si="74"/>
        <v>02406911202</v>
      </c>
      <c r="C3291" s="1" t="s">
        <v>13</v>
      </c>
      <c r="D3291" s="1" t="s">
        <v>205</v>
      </c>
      <c r="E3291" s="1" t="s">
        <v>6677</v>
      </c>
      <c r="F3291" s="1" t="s">
        <v>49</v>
      </c>
      <c r="G3291" s="1" t="str">
        <f>"00395720378"</f>
        <v>00395720378</v>
      </c>
      <c r="I3291" s="1" t="s">
        <v>6752</v>
      </c>
      <c r="L3291" s="1" t="s">
        <v>44</v>
      </c>
      <c r="M3291" s="1" t="s">
        <v>6595</v>
      </c>
      <c r="AG3291" s="1" t="s">
        <v>124</v>
      </c>
      <c r="AH3291" s="2">
        <v>44927</v>
      </c>
      <c r="AI3291" s="2">
        <v>45291</v>
      </c>
      <c r="AJ3291" s="2">
        <v>44927</v>
      </c>
    </row>
    <row r="3292" spans="1:36">
      <c r="A3292" s="1" t="str">
        <f>"ZB93BDB5EA"</f>
        <v>ZB93BDB5EA</v>
      </c>
      <c r="B3292" s="1" t="str">
        <f t="shared" si="74"/>
        <v>02406911202</v>
      </c>
      <c r="C3292" s="1" t="s">
        <v>13</v>
      </c>
      <c r="D3292" s="1" t="s">
        <v>205</v>
      </c>
      <c r="E3292" s="1" t="s">
        <v>6617</v>
      </c>
      <c r="F3292" s="1" t="s">
        <v>49</v>
      </c>
      <c r="G3292" s="1" t="str">
        <f>"03415001209"</f>
        <v>03415001209</v>
      </c>
      <c r="I3292" s="1" t="s">
        <v>5435</v>
      </c>
      <c r="L3292" s="1" t="s">
        <v>44</v>
      </c>
      <c r="M3292" s="1" t="s">
        <v>2301</v>
      </c>
      <c r="AG3292" s="1" t="s">
        <v>124</v>
      </c>
      <c r="AH3292" s="2">
        <v>44927</v>
      </c>
      <c r="AI3292" s="2">
        <v>45291</v>
      </c>
      <c r="AJ3292" s="2">
        <v>44927</v>
      </c>
    </row>
    <row r="3293" spans="1:36">
      <c r="A3293" s="1" t="str">
        <f>"Z0C3BDB754"</f>
        <v>Z0C3BDB754</v>
      </c>
      <c r="B3293" s="1" t="str">
        <f t="shared" si="74"/>
        <v>02406911202</v>
      </c>
      <c r="C3293" s="1" t="s">
        <v>13</v>
      </c>
      <c r="D3293" s="1" t="s">
        <v>205</v>
      </c>
      <c r="E3293" s="1" t="s">
        <v>6617</v>
      </c>
      <c r="F3293" s="1" t="s">
        <v>49</v>
      </c>
      <c r="G3293" s="1" t="str">
        <f>"02185310246"</f>
        <v>02185310246</v>
      </c>
      <c r="I3293" s="1" t="s">
        <v>6232</v>
      </c>
      <c r="L3293" s="1" t="s">
        <v>44</v>
      </c>
      <c r="M3293" s="1" t="s">
        <v>2301</v>
      </c>
      <c r="AG3293" s="1" t="s">
        <v>124</v>
      </c>
      <c r="AH3293" s="2">
        <v>44927</v>
      </c>
      <c r="AI3293" s="2">
        <v>45291</v>
      </c>
      <c r="AJ3293" s="2">
        <v>44927</v>
      </c>
    </row>
    <row r="3294" spans="1:36">
      <c r="A3294" s="1" t="str">
        <f>"9909881481"</f>
        <v>9909881481</v>
      </c>
      <c r="B3294" s="1" t="str">
        <f t="shared" si="74"/>
        <v>02406911202</v>
      </c>
      <c r="C3294" s="1" t="s">
        <v>13</v>
      </c>
      <c r="D3294" s="1" t="s">
        <v>37</v>
      </c>
      <c r="E3294" s="1" t="s">
        <v>6678</v>
      </c>
      <c r="F3294" s="1" t="s">
        <v>117</v>
      </c>
      <c r="G3294" s="1" t="str">
        <f>"04494061007"</f>
        <v>04494061007</v>
      </c>
      <c r="I3294" s="1" t="s">
        <v>3759</v>
      </c>
      <c r="L3294" s="1" t="s">
        <v>44</v>
      </c>
      <c r="M3294" s="1" t="s">
        <v>6679</v>
      </c>
      <c r="AG3294" s="1" t="s">
        <v>124</v>
      </c>
      <c r="AH3294" s="2">
        <v>45105</v>
      </c>
      <c r="AI3294" s="2">
        <v>46022</v>
      </c>
      <c r="AJ3294" s="2">
        <v>45105</v>
      </c>
    </row>
    <row r="3295" spans="1:36">
      <c r="A3295" s="1" t="str">
        <f>"9911656D45"</f>
        <v>9911656D45</v>
      </c>
      <c r="B3295" s="1" t="str">
        <f t="shared" si="74"/>
        <v>02406911202</v>
      </c>
      <c r="C3295" s="1" t="s">
        <v>13</v>
      </c>
      <c r="D3295" s="1" t="s">
        <v>37</v>
      </c>
      <c r="E3295" s="1" t="s">
        <v>6680</v>
      </c>
      <c r="F3295" s="1" t="s">
        <v>117</v>
      </c>
      <c r="G3295" s="1" t="str">
        <f>"02774840595"</f>
        <v>02774840595</v>
      </c>
      <c r="I3295" s="1" t="s">
        <v>2095</v>
      </c>
      <c r="L3295" s="1" t="s">
        <v>44</v>
      </c>
      <c r="M3295" s="1" t="s">
        <v>6681</v>
      </c>
      <c r="AG3295" s="1" t="s">
        <v>124</v>
      </c>
      <c r="AH3295" s="2">
        <v>45105</v>
      </c>
      <c r="AI3295" s="2">
        <v>46022</v>
      </c>
      <c r="AJ3295" s="2">
        <v>45105</v>
      </c>
    </row>
    <row r="3296" spans="1:36">
      <c r="A3296" s="1" t="str">
        <f>"ZD23BEF180"</f>
        <v>ZD23BEF180</v>
      </c>
      <c r="B3296" s="1" t="str">
        <f t="shared" si="74"/>
        <v>02406911202</v>
      </c>
      <c r="C3296" s="1" t="s">
        <v>13</v>
      </c>
      <c r="D3296" s="1" t="s">
        <v>205</v>
      </c>
      <c r="E3296" s="1" t="s">
        <v>6682</v>
      </c>
      <c r="F3296" s="1" t="s">
        <v>49</v>
      </c>
      <c r="G3296" s="1" t="str">
        <f>"04144000371"</f>
        <v>04144000371</v>
      </c>
      <c r="I3296" s="1" t="s">
        <v>3396</v>
      </c>
      <c r="L3296" s="1" t="s">
        <v>44</v>
      </c>
      <c r="M3296" s="1" t="s">
        <v>6683</v>
      </c>
      <c r="AG3296" s="1" t="s">
        <v>6684</v>
      </c>
      <c r="AH3296" s="2">
        <v>45017</v>
      </c>
      <c r="AI3296" s="2">
        <v>45138</v>
      </c>
      <c r="AJ3296" s="2">
        <v>45017</v>
      </c>
    </row>
    <row r="3297" spans="1:36">
      <c r="A3297" s="1" t="str">
        <f>"Z4D3BA9628"</f>
        <v>Z4D3BA9628</v>
      </c>
      <c r="B3297" s="1" t="str">
        <f t="shared" si="74"/>
        <v>02406911202</v>
      </c>
      <c r="C3297" s="1" t="s">
        <v>13</v>
      </c>
      <c r="D3297" s="1" t="s">
        <v>37</v>
      </c>
      <c r="E3297" s="1" t="s">
        <v>6685</v>
      </c>
      <c r="F3297" s="1" t="s">
        <v>117</v>
      </c>
      <c r="G3297" s="1" t="str">
        <f>"11742580969"</f>
        <v>11742580969</v>
      </c>
      <c r="I3297" s="1" t="s">
        <v>6686</v>
      </c>
      <c r="L3297" s="1" t="s">
        <v>44</v>
      </c>
      <c r="M3297" s="1" t="s">
        <v>6687</v>
      </c>
      <c r="AG3297" s="1" t="s">
        <v>124</v>
      </c>
      <c r="AH3297" s="2">
        <v>45105</v>
      </c>
      <c r="AI3297" s="2">
        <v>46022</v>
      </c>
      <c r="AJ3297" s="2">
        <v>45105</v>
      </c>
    </row>
    <row r="3298" spans="1:36">
      <c r="A3298" s="1" t="str">
        <f>"9911381A56"</f>
        <v>9911381A56</v>
      </c>
      <c r="B3298" s="1" t="str">
        <f t="shared" si="74"/>
        <v>02406911202</v>
      </c>
      <c r="C3298" s="1" t="s">
        <v>13</v>
      </c>
      <c r="D3298" s="1" t="s">
        <v>37</v>
      </c>
      <c r="E3298" s="1" t="s">
        <v>6688</v>
      </c>
      <c r="F3298" s="1" t="s">
        <v>117</v>
      </c>
      <c r="G3298" s="1" t="str">
        <f>"06516000962"</f>
        <v>06516000962</v>
      </c>
      <c r="I3298" s="1" t="s">
        <v>1728</v>
      </c>
      <c r="L3298" s="1" t="s">
        <v>44</v>
      </c>
      <c r="M3298" s="1" t="s">
        <v>6689</v>
      </c>
      <c r="AG3298" s="1" t="s">
        <v>124</v>
      </c>
      <c r="AH3298" s="2">
        <v>45105</v>
      </c>
      <c r="AI3298" s="2">
        <v>46022</v>
      </c>
      <c r="AJ3298" s="2">
        <v>45105</v>
      </c>
    </row>
    <row r="3299" spans="1:36">
      <c r="A3299" s="1" t="str">
        <f>"9886357FDF"</f>
        <v>9886357FDF</v>
      </c>
      <c r="B3299" s="1" t="str">
        <f t="shared" si="74"/>
        <v>02406911202</v>
      </c>
      <c r="C3299" s="1" t="s">
        <v>13</v>
      </c>
      <c r="D3299" s="1" t="s">
        <v>37</v>
      </c>
      <c r="E3299" s="1" t="s">
        <v>6690</v>
      </c>
      <c r="F3299" s="1" t="s">
        <v>39</v>
      </c>
      <c r="G3299" s="1" t="str">
        <f>"13144290155"</f>
        <v>13144290155</v>
      </c>
      <c r="I3299" s="1" t="s">
        <v>130</v>
      </c>
      <c r="L3299" s="1" t="s">
        <v>44</v>
      </c>
      <c r="M3299" s="1" t="s">
        <v>6691</v>
      </c>
      <c r="AG3299" s="1" t="s">
        <v>124</v>
      </c>
      <c r="AH3299" s="2">
        <v>45094</v>
      </c>
      <c r="AI3299" s="2">
        <v>45459</v>
      </c>
      <c r="AJ3299" s="2">
        <v>45094</v>
      </c>
    </row>
    <row r="3300" spans="1:36">
      <c r="A3300" s="1" t="str">
        <f>"Z1B3BDE392"</f>
        <v>Z1B3BDE392</v>
      </c>
      <c r="B3300" s="1" t="str">
        <f t="shared" si="74"/>
        <v>02406911202</v>
      </c>
      <c r="C3300" s="1" t="s">
        <v>13</v>
      </c>
      <c r="D3300" s="1" t="s">
        <v>205</v>
      </c>
      <c r="E3300" s="1" t="s">
        <v>6544</v>
      </c>
      <c r="F3300" s="1" t="s">
        <v>49</v>
      </c>
      <c r="G3300" s="1" t="str">
        <f>"01746341203"</f>
        <v>01746341203</v>
      </c>
      <c r="I3300" s="1" t="s">
        <v>6176</v>
      </c>
      <c r="L3300" s="1" t="s">
        <v>44</v>
      </c>
      <c r="M3300" s="1" t="s">
        <v>2301</v>
      </c>
      <c r="AG3300" s="1" t="s">
        <v>124</v>
      </c>
      <c r="AH3300" s="2">
        <v>44927</v>
      </c>
      <c r="AI3300" s="2">
        <v>45291</v>
      </c>
      <c r="AJ3300" s="2">
        <v>44927</v>
      </c>
    </row>
    <row r="3301" spans="1:36">
      <c r="A3301" s="1" t="str">
        <f>"Z0D3BDD9EA"</f>
        <v>Z0D3BDD9EA</v>
      </c>
      <c r="B3301" s="1" t="str">
        <f t="shared" si="74"/>
        <v>02406911202</v>
      </c>
      <c r="C3301" s="1" t="s">
        <v>13</v>
      </c>
      <c r="D3301" s="1" t="s">
        <v>205</v>
      </c>
      <c r="E3301" s="1" t="s">
        <v>6544</v>
      </c>
      <c r="F3301" s="1" t="s">
        <v>49</v>
      </c>
      <c r="G3301" s="1" t="str">
        <f>"03741201200"</f>
        <v>03741201200</v>
      </c>
      <c r="I3301" s="1" t="s">
        <v>5444</v>
      </c>
      <c r="L3301" s="1" t="s">
        <v>44</v>
      </c>
      <c r="M3301" s="1" t="s">
        <v>2301</v>
      </c>
      <c r="AG3301" s="1" t="s">
        <v>124</v>
      </c>
      <c r="AH3301" s="2">
        <v>44927</v>
      </c>
      <c r="AI3301" s="2">
        <v>45291</v>
      </c>
      <c r="AJ3301" s="2">
        <v>44927</v>
      </c>
    </row>
    <row r="3302" spans="1:36">
      <c r="A3302" s="1" t="str">
        <f>"Z473BDB78B"</f>
        <v>Z473BDB78B</v>
      </c>
      <c r="B3302" s="1" t="str">
        <f t="shared" si="74"/>
        <v>02406911202</v>
      </c>
      <c r="C3302" s="1" t="s">
        <v>13</v>
      </c>
      <c r="D3302" s="1" t="s">
        <v>205</v>
      </c>
      <c r="E3302" s="1" t="s">
        <v>6617</v>
      </c>
      <c r="F3302" s="1" t="s">
        <v>49</v>
      </c>
      <c r="G3302" s="1" t="str">
        <f>"01619850694"</f>
        <v>01619850694</v>
      </c>
      <c r="I3302" s="1" t="s">
        <v>5211</v>
      </c>
      <c r="L3302" s="1" t="s">
        <v>44</v>
      </c>
      <c r="M3302" s="1" t="s">
        <v>2301</v>
      </c>
      <c r="AG3302" s="1" t="s">
        <v>124</v>
      </c>
      <c r="AH3302" s="2">
        <v>44927</v>
      </c>
      <c r="AI3302" s="2">
        <v>45291</v>
      </c>
      <c r="AJ3302" s="2">
        <v>44927</v>
      </c>
    </row>
    <row r="3303" spans="1:36">
      <c r="A3303" s="1" t="str">
        <f>"Z893BDB7AF"</f>
        <v>Z893BDB7AF</v>
      </c>
      <c r="B3303" s="1" t="str">
        <f t="shared" si="74"/>
        <v>02406911202</v>
      </c>
      <c r="C3303" s="1" t="s">
        <v>13</v>
      </c>
      <c r="D3303" s="1" t="s">
        <v>205</v>
      </c>
      <c r="E3303" s="1" t="s">
        <v>6617</v>
      </c>
      <c r="F3303" s="1" t="s">
        <v>49</v>
      </c>
      <c r="G3303" s="1" t="str">
        <f>"04079881209"</f>
        <v>04079881209</v>
      </c>
      <c r="I3303" s="1" t="s">
        <v>6399</v>
      </c>
      <c r="L3303" s="1" t="s">
        <v>44</v>
      </c>
      <c r="M3303" s="1" t="s">
        <v>2301</v>
      </c>
      <c r="AG3303" s="1" t="s">
        <v>124</v>
      </c>
      <c r="AH3303" s="2">
        <v>44927</v>
      </c>
      <c r="AI3303" s="2">
        <v>45291</v>
      </c>
      <c r="AJ3303" s="2">
        <v>44927</v>
      </c>
    </row>
    <row r="3304" spans="1:36">
      <c r="A3304" s="1" t="str">
        <f>"Z3A3BDB7F6"</f>
        <v>Z3A3BDB7F6</v>
      </c>
      <c r="B3304" s="1" t="str">
        <f t="shared" si="74"/>
        <v>02406911202</v>
      </c>
      <c r="C3304" s="1" t="s">
        <v>13</v>
      </c>
      <c r="D3304" s="1" t="s">
        <v>205</v>
      </c>
      <c r="E3304" s="1" t="s">
        <v>6692</v>
      </c>
      <c r="F3304" s="1" t="s">
        <v>49</v>
      </c>
      <c r="G3304" s="1" t="str">
        <f>"03564861205"</f>
        <v>03564861205</v>
      </c>
      <c r="I3304" s="1" t="s">
        <v>6144</v>
      </c>
      <c r="L3304" s="1" t="s">
        <v>44</v>
      </c>
      <c r="M3304" s="1" t="s">
        <v>2301</v>
      </c>
      <c r="AG3304" s="1" t="s">
        <v>124</v>
      </c>
      <c r="AH3304" s="2">
        <v>44927</v>
      </c>
      <c r="AI3304" s="2">
        <v>45291</v>
      </c>
      <c r="AJ3304" s="2">
        <v>44927</v>
      </c>
    </row>
    <row r="3305" spans="1:36">
      <c r="A3305" s="1" t="str">
        <f>"ZB93BF5D7A"</f>
        <v>ZB93BF5D7A</v>
      </c>
      <c r="B3305" s="1" t="str">
        <f t="shared" si="74"/>
        <v>02406911202</v>
      </c>
      <c r="C3305" s="1" t="s">
        <v>13</v>
      </c>
      <c r="D3305" s="1" t="s">
        <v>205</v>
      </c>
      <c r="E3305" s="1" t="s">
        <v>6693</v>
      </c>
      <c r="F3305" s="1" t="s">
        <v>49</v>
      </c>
      <c r="G3305" s="1" t="str">
        <f>"00672690377"</f>
        <v>00672690377</v>
      </c>
      <c r="I3305" s="1" t="s">
        <v>188</v>
      </c>
      <c r="L3305" s="1" t="s">
        <v>44</v>
      </c>
      <c r="M3305" s="1" t="s">
        <v>6694</v>
      </c>
      <c r="AG3305" s="1" t="s">
        <v>124</v>
      </c>
      <c r="AH3305" s="2">
        <v>45078</v>
      </c>
      <c r="AI3305" s="2">
        <v>45291</v>
      </c>
      <c r="AJ3305" s="2">
        <v>45078</v>
      </c>
    </row>
    <row r="3306" spans="1:36">
      <c r="A3306" s="1" t="str">
        <f>"ZA23C0AC7B"</f>
        <v>ZA23C0AC7B</v>
      </c>
      <c r="B3306" s="1" t="str">
        <f t="shared" si="74"/>
        <v>02406911202</v>
      </c>
      <c r="C3306" s="1" t="s">
        <v>13</v>
      </c>
      <c r="D3306" s="1" t="s">
        <v>205</v>
      </c>
      <c r="E3306" s="1" t="s">
        <v>6695</v>
      </c>
      <c r="F3306" s="1" t="s">
        <v>49</v>
      </c>
      <c r="G3306" s="1" t="str">
        <f>"02899440107"</f>
        <v>02899440107</v>
      </c>
      <c r="I3306" s="1" t="s">
        <v>6696</v>
      </c>
      <c r="L3306" s="1" t="s">
        <v>44</v>
      </c>
      <c r="M3306" s="1" t="s">
        <v>3491</v>
      </c>
      <c r="AG3306" s="1" t="s">
        <v>124</v>
      </c>
      <c r="AH3306" s="2">
        <v>44927</v>
      </c>
      <c r="AI3306" s="2">
        <v>45291</v>
      </c>
      <c r="AJ3306" s="2">
        <v>44927</v>
      </c>
    </row>
    <row r="3307" spans="1:36">
      <c r="A3307" s="1" t="str">
        <f>"Z1F3C0CEC9"</f>
        <v>Z1F3C0CEC9</v>
      </c>
      <c r="B3307" s="1" t="str">
        <f t="shared" si="74"/>
        <v>02406911202</v>
      </c>
      <c r="C3307" s="1" t="s">
        <v>13</v>
      </c>
      <c r="D3307" s="1" t="s">
        <v>1253</v>
      </c>
      <c r="E3307" s="1" t="s">
        <v>1317</v>
      </c>
      <c r="F3307" s="1" t="s">
        <v>49</v>
      </c>
      <c r="G3307" s="1" t="str">
        <f>"01630000287"</f>
        <v>01630000287</v>
      </c>
      <c r="I3307" s="1" t="s">
        <v>1470</v>
      </c>
      <c r="L3307" s="1" t="s">
        <v>44</v>
      </c>
      <c r="M3307" s="1" t="s">
        <v>1255</v>
      </c>
      <c r="AG3307" s="1" t="s">
        <v>124</v>
      </c>
      <c r="AH3307" s="2">
        <v>45107</v>
      </c>
      <c r="AI3307" s="2">
        <v>45291</v>
      </c>
      <c r="AJ3307" s="2">
        <v>45107</v>
      </c>
    </row>
    <row r="3308" spans="1:36">
      <c r="A3308" s="1" t="str">
        <f>"Z8C3BA957D"</f>
        <v>Z8C3BA957D</v>
      </c>
      <c r="B3308" s="1" t="str">
        <f t="shared" si="74"/>
        <v>02406911202</v>
      </c>
      <c r="C3308" s="1" t="s">
        <v>13</v>
      </c>
      <c r="D3308" s="1" t="s">
        <v>37</v>
      </c>
      <c r="E3308" s="1" t="s">
        <v>6697</v>
      </c>
      <c r="F3308" s="1" t="s">
        <v>117</v>
      </c>
      <c r="G3308" s="1" t="str">
        <f>"06037901003"</f>
        <v>06037901003</v>
      </c>
      <c r="I3308" s="1" t="s">
        <v>3136</v>
      </c>
      <c r="L3308" s="1" t="s">
        <v>44</v>
      </c>
      <c r="M3308" s="1" t="s">
        <v>6698</v>
      </c>
      <c r="AG3308" s="1" t="s">
        <v>124</v>
      </c>
      <c r="AH3308" s="2">
        <v>45105</v>
      </c>
      <c r="AI3308" s="2">
        <v>46022</v>
      </c>
      <c r="AJ3308" s="2">
        <v>45105</v>
      </c>
    </row>
    <row r="3309" spans="1:36">
      <c r="A3309" s="1" t="str">
        <f>"Z8F3BDA3BB"</f>
        <v>Z8F3BDA3BB</v>
      </c>
      <c r="B3309" s="1" t="str">
        <f t="shared" si="74"/>
        <v>02406911202</v>
      </c>
      <c r="C3309" s="1" t="s">
        <v>13</v>
      </c>
      <c r="D3309" s="1" t="s">
        <v>205</v>
      </c>
      <c r="E3309" s="1" t="s">
        <v>6544</v>
      </c>
      <c r="F3309" s="1" t="s">
        <v>49</v>
      </c>
      <c r="G3309" s="1" t="str">
        <f>"01592771206"</f>
        <v>01592771206</v>
      </c>
      <c r="I3309" s="1" t="s">
        <v>6699</v>
      </c>
      <c r="L3309" s="1" t="s">
        <v>44</v>
      </c>
      <c r="M3309" s="1" t="s">
        <v>2301</v>
      </c>
      <c r="AG3309" s="1" t="s">
        <v>124</v>
      </c>
      <c r="AH3309" s="2">
        <v>44927</v>
      </c>
      <c r="AI3309" s="2">
        <v>45291</v>
      </c>
      <c r="AJ3309" s="2">
        <v>44927</v>
      </c>
    </row>
    <row r="3310" spans="1:36">
      <c r="A3310" s="1" t="str">
        <f>"9479905914"</f>
        <v>9479905914</v>
      </c>
      <c r="B3310" s="1" t="str">
        <f t="shared" si="74"/>
        <v>02406911202</v>
      </c>
      <c r="C3310" s="1" t="s">
        <v>13</v>
      </c>
      <c r="D3310" s="1" t="s">
        <v>37</v>
      </c>
      <c r="E3310" s="1" t="s">
        <v>6700</v>
      </c>
      <c r="F3310" s="1" t="s">
        <v>431</v>
      </c>
      <c r="G3310" s="1" t="str">
        <f>"02236190233"</f>
        <v>02236190233</v>
      </c>
      <c r="I3310" s="1" t="s">
        <v>1490</v>
      </c>
      <c r="L3310" s="1" t="s">
        <v>44</v>
      </c>
      <c r="M3310" s="1" t="s">
        <v>6701</v>
      </c>
      <c r="AG3310" s="1" t="s">
        <v>124</v>
      </c>
      <c r="AH3310" s="2">
        <v>45069</v>
      </c>
      <c r="AI3310" s="2">
        <v>46896</v>
      </c>
      <c r="AJ3310" s="2">
        <v>45069</v>
      </c>
    </row>
    <row r="3311" spans="1:36">
      <c r="A3311" s="1" t="str">
        <f>"9911967DEA"</f>
        <v>9911967DEA</v>
      </c>
      <c r="B3311" s="1" t="str">
        <f t="shared" si="74"/>
        <v>02406911202</v>
      </c>
      <c r="C3311" s="1" t="s">
        <v>13</v>
      </c>
      <c r="D3311" s="1" t="s">
        <v>37</v>
      </c>
      <c r="E3311" s="1" t="s">
        <v>6702</v>
      </c>
      <c r="F3311" s="1" t="s">
        <v>117</v>
      </c>
      <c r="G3311" s="1" t="str">
        <f>"00832400154"</f>
        <v>00832400154</v>
      </c>
      <c r="I3311" s="1" t="s">
        <v>285</v>
      </c>
      <c r="L3311" s="1" t="s">
        <v>44</v>
      </c>
      <c r="M3311" s="1" t="s">
        <v>6703</v>
      </c>
      <c r="AG3311" s="1" t="s">
        <v>124</v>
      </c>
      <c r="AH3311" s="2">
        <v>45105</v>
      </c>
      <c r="AI3311" s="2">
        <v>46022</v>
      </c>
      <c r="AJ3311" s="2">
        <v>45105</v>
      </c>
    </row>
    <row r="3312" spans="1:36">
      <c r="A3312" s="1" t="str">
        <f>"Z8C3BDDDC0"</f>
        <v>Z8C3BDDDC0</v>
      </c>
      <c r="B3312" s="1" t="str">
        <f t="shared" si="74"/>
        <v>02406911202</v>
      </c>
      <c r="C3312" s="1" t="s">
        <v>13</v>
      </c>
      <c r="D3312" s="1" t="s">
        <v>205</v>
      </c>
      <c r="E3312" s="1" t="s">
        <v>6544</v>
      </c>
      <c r="F3312" s="1" t="s">
        <v>49</v>
      </c>
      <c r="G3312" s="1" t="str">
        <f>"02024211209"</f>
        <v>02024211209</v>
      </c>
      <c r="I3312" s="1" t="s">
        <v>6329</v>
      </c>
      <c r="L3312" s="1" t="s">
        <v>44</v>
      </c>
      <c r="M3312" s="1" t="s">
        <v>2301</v>
      </c>
      <c r="AG3312" s="1" t="s">
        <v>124</v>
      </c>
      <c r="AH3312" s="2">
        <v>44927</v>
      </c>
      <c r="AI3312" s="2">
        <v>45291</v>
      </c>
      <c r="AJ3312" s="2">
        <v>44927</v>
      </c>
    </row>
    <row r="3313" spans="1:36">
      <c r="A3313" s="1" t="str">
        <f>"Z4E3BDDEB0"</f>
        <v>Z4E3BDDEB0</v>
      </c>
      <c r="B3313" s="1" t="str">
        <f t="shared" si="74"/>
        <v>02406911202</v>
      </c>
      <c r="C3313" s="1" t="s">
        <v>13</v>
      </c>
      <c r="D3313" s="1" t="s">
        <v>205</v>
      </c>
      <c r="E3313" s="1" t="s">
        <v>6544</v>
      </c>
      <c r="F3313" s="1" t="s">
        <v>49</v>
      </c>
      <c r="G3313" s="1" t="str">
        <f>"02726861202"</f>
        <v>02726861202</v>
      </c>
      <c r="I3313" s="1" t="s">
        <v>6463</v>
      </c>
      <c r="L3313" s="1" t="s">
        <v>44</v>
      </c>
      <c r="M3313" s="1" t="s">
        <v>2301</v>
      </c>
      <c r="AG3313" s="1" t="s">
        <v>124</v>
      </c>
      <c r="AH3313" s="2">
        <v>44927</v>
      </c>
      <c r="AI3313" s="2">
        <v>45291</v>
      </c>
      <c r="AJ3313" s="2">
        <v>44927</v>
      </c>
    </row>
    <row r="3314" spans="1:36">
      <c r="A3314" s="1" t="str">
        <f>"Z493BDDF4D"</f>
        <v>Z493BDDF4D</v>
      </c>
      <c r="B3314" s="1" t="str">
        <f t="shared" si="74"/>
        <v>02406911202</v>
      </c>
      <c r="C3314" s="1" t="s">
        <v>13</v>
      </c>
      <c r="D3314" s="1" t="s">
        <v>205</v>
      </c>
      <c r="E3314" s="1" t="s">
        <v>6544</v>
      </c>
      <c r="F3314" s="1" t="s">
        <v>49</v>
      </c>
      <c r="G3314" s="1" t="str">
        <f>"03472261209"</f>
        <v>03472261209</v>
      </c>
      <c r="I3314" s="1" t="s">
        <v>5439</v>
      </c>
      <c r="L3314" s="1" t="s">
        <v>44</v>
      </c>
      <c r="M3314" s="1" t="s">
        <v>2301</v>
      </c>
      <c r="AG3314" s="1" t="s">
        <v>124</v>
      </c>
      <c r="AH3314" s="2">
        <v>44927</v>
      </c>
      <c r="AI3314" s="2">
        <v>45291</v>
      </c>
      <c r="AJ3314" s="2">
        <v>44927</v>
      </c>
    </row>
    <row r="3315" spans="1:36">
      <c r="A3315" s="1" t="str">
        <f>"ZE83BDDFFF"</f>
        <v>ZE83BDDFFF</v>
      </c>
      <c r="B3315" s="1" t="str">
        <f t="shared" si="74"/>
        <v>02406911202</v>
      </c>
      <c r="C3315" s="1" t="s">
        <v>13</v>
      </c>
      <c r="D3315" s="1" t="s">
        <v>205</v>
      </c>
      <c r="E3315" s="1" t="s">
        <v>6544</v>
      </c>
      <c r="F3315" s="1" t="s">
        <v>49</v>
      </c>
      <c r="G3315" s="1" t="str">
        <f>"02814021206"</f>
        <v>02814021206</v>
      </c>
      <c r="I3315" s="1" t="s">
        <v>5008</v>
      </c>
      <c r="L3315" s="1" t="s">
        <v>44</v>
      </c>
      <c r="M3315" s="1" t="s">
        <v>2301</v>
      </c>
      <c r="AG3315" s="1" t="s">
        <v>124</v>
      </c>
      <c r="AH3315" s="2">
        <v>44927</v>
      </c>
      <c r="AI3315" s="2">
        <v>45291</v>
      </c>
      <c r="AJ3315" s="2">
        <v>44927</v>
      </c>
    </row>
    <row r="3316" spans="1:36">
      <c r="A3316" s="1" t="str">
        <f>"Z563BFB291"</f>
        <v>Z563BFB291</v>
      </c>
      <c r="B3316" s="1" t="str">
        <f t="shared" si="74"/>
        <v>02406911202</v>
      </c>
      <c r="C3316" s="1" t="s">
        <v>13</v>
      </c>
      <c r="D3316" s="1" t="s">
        <v>1312</v>
      </c>
      <c r="E3316" s="1" t="s">
        <v>1974</v>
      </c>
      <c r="F3316" s="1" t="s">
        <v>49</v>
      </c>
      <c r="G3316" s="1" t="str">
        <f>"00517711206"</f>
        <v>00517711206</v>
      </c>
      <c r="I3316" s="1" t="s">
        <v>2852</v>
      </c>
      <c r="L3316" s="1" t="s">
        <v>44</v>
      </c>
      <c r="M3316" s="1" t="s">
        <v>2853</v>
      </c>
      <c r="AG3316" s="1" t="s">
        <v>124</v>
      </c>
      <c r="AH3316" s="2">
        <v>45103</v>
      </c>
      <c r="AI3316" s="2">
        <v>45138</v>
      </c>
      <c r="AJ3316" s="2">
        <v>45103</v>
      </c>
    </row>
    <row r="3317" spans="1:36">
      <c r="A3317" s="1" t="str">
        <f>"Z7E3BDD31D"</f>
        <v>Z7E3BDD31D</v>
      </c>
      <c r="B3317" s="1" t="str">
        <f t="shared" si="74"/>
        <v>02406911202</v>
      </c>
      <c r="C3317" s="1" t="s">
        <v>13</v>
      </c>
      <c r="D3317" s="1" t="s">
        <v>205</v>
      </c>
      <c r="E3317" s="1" t="s">
        <v>6544</v>
      </c>
      <c r="F3317" s="1" t="s">
        <v>49</v>
      </c>
      <c r="G3317" s="1" t="str">
        <f>"03580491201"</f>
        <v>03580491201</v>
      </c>
      <c r="I3317" s="1" t="s">
        <v>6243</v>
      </c>
      <c r="L3317" s="1" t="s">
        <v>44</v>
      </c>
      <c r="M3317" s="1" t="s">
        <v>2301</v>
      </c>
      <c r="AG3317" s="1" t="s">
        <v>124</v>
      </c>
      <c r="AH3317" s="2">
        <v>44927</v>
      </c>
      <c r="AI3317" s="2">
        <v>45291</v>
      </c>
      <c r="AJ3317" s="2">
        <v>44927</v>
      </c>
    </row>
    <row r="3318" spans="1:36">
      <c r="A3318" s="1" t="str">
        <f>"Z843BDA2BA"</f>
        <v>Z843BDA2BA</v>
      </c>
      <c r="B3318" s="1" t="str">
        <f t="shared" si="74"/>
        <v>02406911202</v>
      </c>
      <c r="C3318" s="1" t="s">
        <v>13</v>
      </c>
      <c r="D3318" s="1" t="s">
        <v>205</v>
      </c>
      <c r="E3318" s="1" t="s">
        <v>6544</v>
      </c>
      <c r="F3318" s="1" t="s">
        <v>49</v>
      </c>
      <c r="G3318" s="1" t="str">
        <f>"03134991201"</f>
        <v>03134991201</v>
      </c>
      <c r="I3318" s="1" t="s">
        <v>6321</v>
      </c>
      <c r="L3318" s="1" t="s">
        <v>44</v>
      </c>
      <c r="M3318" s="1" t="s">
        <v>2301</v>
      </c>
      <c r="AG3318" s="1" t="s">
        <v>124</v>
      </c>
      <c r="AH3318" s="2">
        <v>44927</v>
      </c>
      <c r="AI3318" s="2">
        <v>45291</v>
      </c>
      <c r="AJ3318" s="2">
        <v>44927</v>
      </c>
    </row>
    <row r="3319" spans="1:36">
      <c r="A3319" s="1" t="str">
        <f>"Z6B3BDA3D5"</f>
        <v>Z6B3BDA3D5</v>
      </c>
      <c r="B3319" s="1" t="str">
        <f t="shared" si="74"/>
        <v>02406911202</v>
      </c>
      <c r="C3319" s="1" t="s">
        <v>13</v>
      </c>
      <c r="D3319" s="1" t="s">
        <v>205</v>
      </c>
      <c r="E3319" s="1" t="s">
        <v>6544</v>
      </c>
      <c r="F3319" s="1" t="s">
        <v>49</v>
      </c>
      <c r="G3319" s="1" t="str">
        <f>"03012311209"</f>
        <v>03012311209</v>
      </c>
      <c r="I3319" s="1" t="s">
        <v>4952</v>
      </c>
      <c r="L3319" s="1" t="s">
        <v>44</v>
      </c>
      <c r="M3319" s="1" t="s">
        <v>2301</v>
      </c>
      <c r="AG3319" s="1" t="s">
        <v>124</v>
      </c>
      <c r="AH3319" s="2">
        <v>44927</v>
      </c>
      <c r="AI3319" s="2">
        <v>45291</v>
      </c>
      <c r="AJ3319" s="2">
        <v>44927</v>
      </c>
    </row>
    <row r="3320" spans="1:36">
      <c r="A3320" s="1" t="str">
        <f>"Z643BDA3E8"</f>
        <v>Z643BDA3E8</v>
      </c>
      <c r="B3320" s="1" t="str">
        <f t="shared" si="74"/>
        <v>02406911202</v>
      </c>
      <c r="C3320" s="1" t="s">
        <v>13</v>
      </c>
      <c r="D3320" s="1" t="s">
        <v>205</v>
      </c>
      <c r="E3320" s="1" t="s">
        <v>6544</v>
      </c>
      <c r="F3320" s="1" t="s">
        <v>49</v>
      </c>
      <c r="G3320" s="1" t="str">
        <f>"02397271202"</f>
        <v>02397271202</v>
      </c>
      <c r="I3320" s="1" t="s">
        <v>6303</v>
      </c>
      <c r="L3320" s="1" t="s">
        <v>44</v>
      </c>
      <c r="M3320" s="1" t="s">
        <v>2301</v>
      </c>
      <c r="AG3320" s="1" t="s">
        <v>124</v>
      </c>
      <c r="AH3320" s="2">
        <v>44927</v>
      </c>
      <c r="AI3320" s="2">
        <v>45291</v>
      </c>
      <c r="AJ3320" s="2">
        <v>44927</v>
      </c>
    </row>
    <row r="3321" spans="1:36">
      <c r="A3321" s="1" t="str">
        <f>"ZBF3BDA3EC"</f>
        <v>ZBF3BDA3EC</v>
      </c>
      <c r="B3321" s="1" t="str">
        <f t="shared" si="74"/>
        <v>02406911202</v>
      </c>
      <c r="C3321" s="1" t="s">
        <v>13</v>
      </c>
      <c r="D3321" s="1" t="s">
        <v>205</v>
      </c>
      <c r="E3321" s="1" t="s">
        <v>6544</v>
      </c>
      <c r="F3321" s="1" t="s">
        <v>49</v>
      </c>
      <c r="G3321" s="1" t="str">
        <f>"04173880370"</f>
        <v>04173880370</v>
      </c>
      <c r="I3321" s="1" t="s">
        <v>5171</v>
      </c>
      <c r="L3321" s="1" t="s">
        <v>44</v>
      </c>
      <c r="M3321" s="1" t="s">
        <v>2301</v>
      </c>
      <c r="AG3321" s="1" t="s">
        <v>124</v>
      </c>
      <c r="AH3321" s="2">
        <v>44927</v>
      </c>
      <c r="AI3321" s="2">
        <v>45291</v>
      </c>
      <c r="AJ3321" s="2">
        <v>44927</v>
      </c>
    </row>
    <row r="3322" spans="1:36">
      <c r="A3322" s="1" t="str">
        <f>"ZA63BDA40C"</f>
        <v>ZA63BDA40C</v>
      </c>
      <c r="B3322" s="1" t="str">
        <f t="shared" si="74"/>
        <v>02406911202</v>
      </c>
      <c r="C3322" s="1" t="s">
        <v>13</v>
      </c>
      <c r="D3322" s="1" t="s">
        <v>205</v>
      </c>
      <c r="E3322" s="1" t="s">
        <v>6544</v>
      </c>
      <c r="F3322" s="1" t="s">
        <v>49</v>
      </c>
      <c r="G3322" s="1" t="str">
        <f>"03172981205"</f>
        <v>03172981205</v>
      </c>
      <c r="I3322" s="1" t="s">
        <v>6128</v>
      </c>
      <c r="L3322" s="1" t="s">
        <v>44</v>
      </c>
      <c r="M3322" s="1" t="s">
        <v>2301</v>
      </c>
      <c r="AG3322" s="1" t="s">
        <v>124</v>
      </c>
      <c r="AH3322" s="2">
        <v>44927</v>
      </c>
      <c r="AI3322" s="2">
        <v>45291</v>
      </c>
      <c r="AJ3322" s="2">
        <v>44927</v>
      </c>
    </row>
    <row r="3323" spans="1:36">
      <c r="A3323" s="1" t="str">
        <f>"Z733BFD2E5"</f>
        <v>Z733BFD2E5</v>
      </c>
      <c r="B3323" s="1" t="str">
        <f t="shared" si="74"/>
        <v>02406911202</v>
      </c>
      <c r="C3323" s="1" t="s">
        <v>13</v>
      </c>
      <c r="D3323" s="1" t="s">
        <v>1741</v>
      </c>
      <c r="E3323" s="1" t="s">
        <v>6704</v>
      </c>
      <c r="F3323" s="1" t="s">
        <v>49</v>
      </c>
      <c r="G3323" s="1" t="str">
        <f>"02011970387"</f>
        <v>02011970387</v>
      </c>
      <c r="I3323" s="1" t="s">
        <v>6705</v>
      </c>
      <c r="L3323" s="1" t="s">
        <v>44</v>
      </c>
      <c r="M3323" s="1" t="s">
        <v>6706</v>
      </c>
      <c r="AG3323" s="1" t="s">
        <v>124</v>
      </c>
      <c r="AH3323" s="2">
        <v>45091</v>
      </c>
      <c r="AI3323" s="2">
        <v>45291</v>
      </c>
      <c r="AJ3323" s="2">
        <v>45091</v>
      </c>
    </row>
    <row r="3324" spans="1:36">
      <c r="A3324" s="1" t="str">
        <f>"99099659D1"</f>
        <v>99099659D1</v>
      </c>
      <c r="B3324" s="1" t="str">
        <f t="shared" si="74"/>
        <v>02406911202</v>
      </c>
      <c r="C3324" s="1" t="s">
        <v>13</v>
      </c>
      <c r="D3324" s="1" t="s">
        <v>37</v>
      </c>
      <c r="E3324" s="1" t="s">
        <v>6707</v>
      </c>
      <c r="F3324" s="1" t="s">
        <v>117</v>
      </c>
      <c r="G3324" s="1" t="str">
        <f>"00791570153"</f>
        <v>00791570153</v>
      </c>
      <c r="I3324" s="1" t="s">
        <v>504</v>
      </c>
      <c r="L3324" s="1" t="s">
        <v>44</v>
      </c>
      <c r="M3324" s="1" t="s">
        <v>6708</v>
      </c>
      <c r="AG3324" s="1" t="s">
        <v>124</v>
      </c>
      <c r="AH3324" s="2">
        <v>45105</v>
      </c>
      <c r="AI3324" s="2">
        <v>46022</v>
      </c>
      <c r="AJ3324" s="2">
        <v>45105</v>
      </c>
    </row>
    <row r="3325" spans="1:36">
      <c r="A3325" s="1" t="str">
        <f t="shared" ref="A3325:A3330" si="75">"9578861628"</f>
        <v>9578861628</v>
      </c>
      <c r="B3325" s="1" t="str">
        <f t="shared" si="74"/>
        <v>02406911202</v>
      </c>
      <c r="C3325" s="1" t="s">
        <v>13</v>
      </c>
      <c r="D3325" s="1" t="s">
        <v>37</v>
      </c>
      <c r="E3325" s="1" t="s">
        <v>6709</v>
      </c>
      <c r="F3325" s="1" t="s">
        <v>117</v>
      </c>
      <c r="G3325" s="1" t="str">
        <f>"05712370633"</f>
        <v>05712370633</v>
      </c>
      <c r="I3325" s="1" t="s">
        <v>6710</v>
      </c>
      <c r="J3325" s="1" t="s">
        <v>6711</v>
      </c>
      <c r="K3325" s="1" t="s">
        <v>53</v>
      </c>
      <c r="AJ3325" s="2">
        <v>44971</v>
      </c>
    </row>
    <row r="3326" spans="1:36">
      <c r="A3326" s="1" t="str">
        <f t="shared" si="75"/>
        <v>9578861628</v>
      </c>
      <c r="B3326" s="1" t="str">
        <f t="shared" si="74"/>
        <v>02406911202</v>
      </c>
      <c r="C3326" s="1" t="s">
        <v>13</v>
      </c>
      <c r="D3326" s="1" t="s">
        <v>37</v>
      </c>
      <c r="E3326" s="1" t="s">
        <v>6709</v>
      </c>
      <c r="F3326" s="1" t="s">
        <v>117</v>
      </c>
      <c r="G3326" s="1" t="str">
        <f>"02696070230"</f>
        <v>02696070230</v>
      </c>
      <c r="I3326" s="1" t="s">
        <v>6712</v>
      </c>
      <c r="J3326" s="1" t="s">
        <v>6711</v>
      </c>
      <c r="K3326" s="1" t="s">
        <v>53</v>
      </c>
      <c r="AJ3326" s="2">
        <v>44971</v>
      </c>
    </row>
    <row r="3327" spans="1:36">
      <c r="A3327" s="1" t="str">
        <f t="shared" si="75"/>
        <v>9578861628</v>
      </c>
      <c r="B3327" s="1" t="str">
        <f t="shared" si="74"/>
        <v>02406911202</v>
      </c>
      <c r="C3327" s="1" t="s">
        <v>13</v>
      </c>
      <c r="D3327" s="1" t="s">
        <v>37</v>
      </c>
      <c r="E3327" s="1" t="s">
        <v>6709</v>
      </c>
      <c r="F3327" s="1" t="s">
        <v>117</v>
      </c>
      <c r="G3327" s="1" t="str">
        <f>"02802900361"</f>
        <v>02802900361</v>
      </c>
      <c r="I3327" s="1" t="s">
        <v>6713</v>
      </c>
      <c r="J3327" s="1" t="s">
        <v>6711</v>
      </c>
      <c r="K3327" s="1" t="s">
        <v>51</v>
      </c>
      <c r="AJ3327" s="2">
        <v>44971</v>
      </c>
    </row>
    <row r="3328" spans="1:36">
      <c r="A3328" s="1" t="str">
        <f t="shared" si="75"/>
        <v>9578861628</v>
      </c>
      <c r="B3328" s="1" t="str">
        <f t="shared" si="74"/>
        <v>02406911202</v>
      </c>
      <c r="C3328" s="1" t="s">
        <v>13</v>
      </c>
      <c r="D3328" s="1" t="s">
        <v>37</v>
      </c>
      <c r="E3328" s="1" t="s">
        <v>6709</v>
      </c>
      <c r="F3328" s="1" t="s">
        <v>117</v>
      </c>
      <c r="G3328" s="1" t="str">
        <f>"00487700015"</f>
        <v>00487700015</v>
      </c>
      <c r="I3328" s="1" t="s">
        <v>6714</v>
      </c>
      <c r="J3328" s="1" t="s">
        <v>6711</v>
      </c>
      <c r="K3328" s="1" t="s">
        <v>53</v>
      </c>
      <c r="AJ3328" s="2">
        <v>44971</v>
      </c>
    </row>
    <row r="3329" spans="1:36">
      <c r="A3329" s="1" t="str">
        <f t="shared" si="75"/>
        <v>9578861628</v>
      </c>
      <c r="B3329" s="1" t="str">
        <f t="shared" si="74"/>
        <v>02406911202</v>
      </c>
      <c r="C3329" s="1" t="s">
        <v>13</v>
      </c>
      <c r="D3329" s="1" t="s">
        <v>37</v>
      </c>
      <c r="E3329" s="1" t="s">
        <v>6709</v>
      </c>
      <c r="F3329" s="1" t="s">
        <v>117</v>
      </c>
      <c r="G3329" s="1" t="str">
        <f>"01452051210"</f>
        <v>01452051210</v>
      </c>
      <c r="I3329" s="1" t="s">
        <v>6710</v>
      </c>
      <c r="J3329" s="1" t="s">
        <v>6711</v>
      </c>
      <c r="K3329" s="1" t="s">
        <v>53</v>
      </c>
      <c r="AJ3329" s="2">
        <v>44971</v>
      </c>
    </row>
    <row r="3330" spans="1:36">
      <c r="A3330" s="1" t="str">
        <f t="shared" si="75"/>
        <v>9578861628</v>
      </c>
      <c r="B3330" s="1" t="str">
        <f t="shared" si="74"/>
        <v>02406911202</v>
      </c>
      <c r="C3330" s="1" t="s">
        <v>13</v>
      </c>
      <c r="D3330" s="1" t="s">
        <v>37</v>
      </c>
      <c r="E3330" s="1" t="s">
        <v>6709</v>
      </c>
      <c r="F3330" s="1" t="s">
        <v>117</v>
      </c>
      <c r="I3330" s="1" t="s">
        <v>6711</v>
      </c>
      <c r="L3330" s="1" t="s">
        <v>44</v>
      </c>
      <c r="M3330" s="1" t="s">
        <v>6715</v>
      </c>
      <c r="AG3330" s="1" t="s">
        <v>124</v>
      </c>
      <c r="AH3330" s="2">
        <v>44971</v>
      </c>
      <c r="AI3330" s="2">
        <v>46248</v>
      </c>
      <c r="AJ3330" s="2">
        <v>44971</v>
      </c>
    </row>
    <row r="3331" spans="1:36">
      <c r="A3331" s="1" t="str">
        <f t="shared" ref="A3331:A3338" si="76">"9555660C14"</f>
        <v>9555660C14</v>
      </c>
      <c r="B3331" s="1" t="str">
        <f t="shared" si="74"/>
        <v>02406911202</v>
      </c>
      <c r="C3331" s="1" t="s">
        <v>13</v>
      </c>
      <c r="D3331" s="1" t="s">
        <v>37</v>
      </c>
      <c r="E3331" s="1" t="s">
        <v>6716</v>
      </c>
      <c r="F3331" s="1" t="s">
        <v>39</v>
      </c>
      <c r="G3331" s="1" t="str">
        <f>"01202580377"</f>
        <v>01202580377</v>
      </c>
      <c r="I3331" s="1" t="s">
        <v>6717</v>
      </c>
      <c r="J3331" s="1" t="s">
        <v>6718</v>
      </c>
      <c r="K3331" s="1" t="s">
        <v>51</v>
      </c>
      <c r="AJ3331" s="2">
        <v>44986</v>
      </c>
    </row>
    <row r="3332" spans="1:36">
      <c r="A3332" s="1" t="str">
        <f t="shared" si="76"/>
        <v>9555660C14</v>
      </c>
      <c r="B3332" s="1" t="str">
        <f t="shared" si="74"/>
        <v>02406911202</v>
      </c>
      <c r="C3332" s="1" t="s">
        <v>13</v>
      </c>
      <c r="D3332" s="1" t="s">
        <v>37</v>
      </c>
      <c r="E3332" s="1" t="s">
        <v>6716</v>
      </c>
      <c r="F3332" s="1" t="s">
        <v>39</v>
      </c>
      <c r="G3332" s="1" t="str">
        <f>"01768611202"</f>
        <v>01768611202</v>
      </c>
      <c r="I3332" s="1" t="s">
        <v>236</v>
      </c>
      <c r="J3332" s="1" t="s">
        <v>6718</v>
      </c>
      <c r="K3332" s="1" t="s">
        <v>53</v>
      </c>
      <c r="AJ3332" s="2">
        <v>44986</v>
      </c>
    </row>
    <row r="3333" spans="1:36">
      <c r="A3333" s="1" t="str">
        <f t="shared" si="76"/>
        <v>9555660C14</v>
      </c>
      <c r="B3333" s="1" t="str">
        <f t="shared" si="74"/>
        <v>02406911202</v>
      </c>
      <c r="C3333" s="1" t="s">
        <v>13</v>
      </c>
      <c r="D3333" s="1" t="s">
        <v>37</v>
      </c>
      <c r="E3333" s="1" t="s">
        <v>6716</v>
      </c>
      <c r="F3333" s="1" t="s">
        <v>39</v>
      </c>
      <c r="G3333" s="1" t="str">
        <f>"01797101209"</f>
        <v>01797101209</v>
      </c>
      <c r="I3333" s="1" t="s">
        <v>6719</v>
      </c>
      <c r="J3333" s="1" t="s">
        <v>6718</v>
      </c>
      <c r="K3333" s="1" t="s">
        <v>53</v>
      </c>
      <c r="AJ3333" s="2">
        <v>44986</v>
      </c>
    </row>
    <row r="3334" spans="1:36">
      <c r="A3334" s="1" t="str">
        <f t="shared" si="76"/>
        <v>9555660C14</v>
      </c>
      <c r="B3334" s="1" t="str">
        <f t="shared" ref="B3334:B3372" si="77">"02406911202"</f>
        <v>02406911202</v>
      </c>
      <c r="C3334" s="1" t="s">
        <v>13</v>
      </c>
      <c r="D3334" s="1" t="s">
        <v>37</v>
      </c>
      <c r="E3334" s="1" t="s">
        <v>6716</v>
      </c>
      <c r="F3334" s="1" t="s">
        <v>39</v>
      </c>
      <c r="G3334" s="1" t="str">
        <f>"02360580373"</f>
        <v>02360580373</v>
      </c>
      <c r="I3334" s="1" t="s">
        <v>240</v>
      </c>
      <c r="J3334" s="1" t="s">
        <v>6718</v>
      </c>
      <c r="K3334" s="1" t="s">
        <v>53</v>
      </c>
      <c r="AJ3334" s="2">
        <v>44986</v>
      </c>
    </row>
    <row r="3335" spans="1:36">
      <c r="A3335" s="1" t="str">
        <f t="shared" si="76"/>
        <v>9555660C14</v>
      </c>
      <c r="B3335" s="1" t="str">
        <f t="shared" si="77"/>
        <v>02406911202</v>
      </c>
      <c r="C3335" s="1" t="s">
        <v>13</v>
      </c>
      <c r="D3335" s="1" t="s">
        <v>37</v>
      </c>
      <c r="E3335" s="1" t="s">
        <v>6716</v>
      </c>
      <c r="F3335" s="1" t="s">
        <v>39</v>
      </c>
      <c r="G3335" s="1" t="str">
        <f>"02693431203"</f>
        <v>02693431203</v>
      </c>
      <c r="I3335" s="1" t="s">
        <v>174</v>
      </c>
      <c r="J3335" s="1" t="s">
        <v>6718</v>
      </c>
      <c r="K3335" s="1" t="s">
        <v>53</v>
      </c>
      <c r="AJ3335" s="2">
        <v>44986</v>
      </c>
    </row>
    <row r="3336" spans="1:36">
      <c r="A3336" s="1" t="str">
        <f t="shared" si="76"/>
        <v>9555660C14</v>
      </c>
      <c r="B3336" s="1" t="str">
        <f t="shared" si="77"/>
        <v>02406911202</v>
      </c>
      <c r="C3336" s="1" t="s">
        <v>13</v>
      </c>
      <c r="D3336" s="1" t="s">
        <v>37</v>
      </c>
      <c r="E3336" s="1" t="s">
        <v>6716</v>
      </c>
      <c r="F3336" s="1" t="s">
        <v>39</v>
      </c>
      <c r="G3336" s="1" t="str">
        <f>"01554711208"</f>
        <v>01554711208</v>
      </c>
      <c r="I3336" s="1" t="s">
        <v>6720</v>
      </c>
      <c r="J3336" s="1" t="s">
        <v>6718</v>
      </c>
      <c r="K3336" s="1" t="s">
        <v>53</v>
      </c>
      <c r="AJ3336" s="2">
        <v>44986</v>
      </c>
    </row>
    <row r="3337" spans="1:36">
      <c r="A3337" s="1" t="str">
        <f t="shared" si="76"/>
        <v>9555660C14</v>
      </c>
      <c r="B3337" s="1" t="str">
        <f t="shared" si="77"/>
        <v>02406911202</v>
      </c>
      <c r="C3337" s="1" t="s">
        <v>13</v>
      </c>
      <c r="D3337" s="1" t="s">
        <v>37</v>
      </c>
      <c r="E3337" s="1" t="s">
        <v>6716</v>
      </c>
      <c r="F3337" s="1" t="s">
        <v>39</v>
      </c>
      <c r="G3337" s="1" t="str">
        <f>"00672690377"</f>
        <v>00672690377</v>
      </c>
      <c r="I3337" s="1" t="s">
        <v>188</v>
      </c>
      <c r="J3337" s="1" t="s">
        <v>6718</v>
      </c>
      <c r="K3337" s="1" t="s">
        <v>53</v>
      </c>
      <c r="AJ3337" s="2">
        <v>44986</v>
      </c>
    </row>
    <row r="3338" spans="1:36">
      <c r="A3338" s="1" t="str">
        <f t="shared" si="76"/>
        <v>9555660C14</v>
      </c>
      <c r="B3338" s="1" t="str">
        <f t="shared" si="77"/>
        <v>02406911202</v>
      </c>
      <c r="C3338" s="1" t="s">
        <v>13</v>
      </c>
      <c r="D3338" s="1" t="s">
        <v>37</v>
      </c>
      <c r="E3338" s="1" t="s">
        <v>6716</v>
      </c>
      <c r="F3338" s="1" t="s">
        <v>39</v>
      </c>
      <c r="I3338" s="1" t="s">
        <v>6718</v>
      </c>
      <c r="L3338" s="1" t="s">
        <v>44</v>
      </c>
      <c r="M3338" s="1" t="s">
        <v>6721</v>
      </c>
      <c r="AG3338" s="1" t="s">
        <v>6722</v>
      </c>
      <c r="AH3338" s="2">
        <v>44986</v>
      </c>
      <c r="AI3338" s="2">
        <v>45351</v>
      </c>
      <c r="AJ3338" s="2">
        <v>44986</v>
      </c>
    </row>
    <row r="3339" spans="1:36">
      <c r="A3339" s="1" t="str">
        <f t="shared" ref="A3339:A3347" si="78">"95555999BE"</f>
        <v>95555999BE</v>
      </c>
      <c r="B3339" s="1" t="str">
        <f t="shared" si="77"/>
        <v>02406911202</v>
      </c>
      <c r="C3339" s="1" t="s">
        <v>13</v>
      </c>
      <c r="D3339" s="1" t="s">
        <v>37</v>
      </c>
      <c r="E3339" s="1" t="s">
        <v>6723</v>
      </c>
      <c r="F3339" s="1" t="s">
        <v>39</v>
      </c>
      <c r="G3339" s="1" t="str">
        <f>"02006180364"</f>
        <v>02006180364</v>
      </c>
      <c r="I3339" s="1" t="s">
        <v>6724</v>
      </c>
      <c r="J3339" s="1" t="s">
        <v>6725</v>
      </c>
      <c r="K3339" s="1" t="s">
        <v>53</v>
      </c>
      <c r="AJ3339" s="2">
        <v>44986</v>
      </c>
    </row>
    <row r="3340" spans="1:36">
      <c r="A3340" s="1" t="str">
        <f t="shared" si="78"/>
        <v>95555999BE</v>
      </c>
      <c r="B3340" s="1" t="str">
        <f t="shared" si="77"/>
        <v>02406911202</v>
      </c>
      <c r="C3340" s="1" t="s">
        <v>13</v>
      </c>
      <c r="D3340" s="1" t="s">
        <v>37</v>
      </c>
      <c r="E3340" s="1" t="s">
        <v>6723</v>
      </c>
      <c r="F3340" s="1" t="s">
        <v>39</v>
      </c>
      <c r="G3340" s="1" t="str">
        <f>"00672690377"</f>
        <v>00672690377</v>
      </c>
      <c r="I3340" s="1" t="s">
        <v>188</v>
      </c>
      <c r="J3340" s="1" t="s">
        <v>6725</v>
      </c>
      <c r="K3340" s="1" t="s">
        <v>53</v>
      </c>
      <c r="AJ3340" s="2">
        <v>44986</v>
      </c>
    </row>
    <row r="3341" spans="1:36">
      <c r="A3341" s="1" t="str">
        <f t="shared" si="78"/>
        <v>95555999BE</v>
      </c>
      <c r="B3341" s="1" t="str">
        <f t="shared" si="77"/>
        <v>02406911202</v>
      </c>
      <c r="C3341" s="1" t="s">
        <v>13</v>
      </c>
      <c r="D3341" s="1" t="s">
        <v>37</v>
      </c>
      <c r="E3341" s="1" t="s">
        <v>6723</v>
      </c>
      <c r="F3341" s="1" t="s">
        <v>39</v>
      </c>
      <c r="G3341" s="1" t="str">
        <f>"02693431203"</f>
        <v>02693431203</v>
      </c>
      <c r="I3341" s="1" t="s">
        <v>174</v>
      </c>
      <c r="J3341" s="1" t="s">
        <v>6725</v>
      </c>
      <c r="K3341" s="1" t="s">
        <v>53</v>
      </c>
      <c r="AJ3341" s="2">
        <v>44986</v>
      </c>
    </row>
    <row r="3342" spans="1:36">
      <c r="A3342" s="1" t="str">
        <f t="shared" si="78"/>
        <v>95555999BE</v>
      </c>
      <c r="B3342" s="1" t="str">
        <f t="shared" si="77"/>
        <v>02406911202</v>
      </c>
      <c r="C3342" s="1" t="s">
        <v>13</v>
      </c>
      <c r="D3342" s="1" t="s">
        <v>37</v>
      </c>
      <c r="E3342" s="1" t="s">
        <v>6723</v>
      </c>
      <c r="F3342" s="1" t="s">
        <v>39</v>
      </c>
      <c r="G3342" s="1" t="str">
        <f>"02375511207"</f>
        <v>02375511207</v>
      </c>
      <c r="I3342" s="1" t="s">
        <v>6726</v>
      </c>
      <c r="J3342" s="1" t="s">
        <v>6725</v>
      </c>
      <c r="K3342" s="1" t="s">
        <v>53</v>
      </c>
      <c r="AJ3342" s="2">
        <v>44986</v>
      </c>
    </row>
    <row r="3343" spans="1:36">
      <c r="A3343" s="1" t="str">
        <f t="shared" si="78"/>
        <v>95555999BE</v>
      </c>
      <c r="B3343" s="1" t="str">
        <f t="shared" si="77"/>
        <v>02406911202</v>
      </c>
      <c r="C3343" s="1" t="s">
        <v>13</v>
      </c>
      <c r="D3343" s="1" t="s">
        <v>37</v>
      </c>
      <c r="E3343" s="1" t="s">
        <v>6723</v>
      </c>
      <c r="F3343" s="1" t="s">
        <v>39</v>
      </c>
      <c r="G3343" s="1" t="str">
        <f>"01554711208"</f>
        <v>01554711208</v>
      </c>
      <c r="I3343" s="1" t="s">
        <v>6720</v>
      </c>
      <c r="J3343" s="1" t="s">
        <v>6725</v>
      </c>
      <c r="K3343" s="1" t="s">
        <v>53</v>
      </c>
      <c r="AJ3343" s="2">
        <v>44986</v>
      </c>
    </row>
    <row r="3344" spans="1:36">
      <c r="A3344" s="1" t="str">
        <f t="shared" si="78"/>
        <v>95555999BE</v>
      </c>
      <c r="B3344" s="1" t="str">
        <f t="shared" si="77"/>
        <v>02406911202</v>
      </c>
      <c r="C3344" s="1" t="s">
        <v>13</v>
      </c>
      <c r="D3344" s="1" t="s">
        <v>37</v>
      </c>
      <c r="E3344" s="1" t="s">
        <v>6723</v>
      </c>
      <c r="F3344" s="1" t="s">
        <v>39</v>
      </c>
      <c r="G3344" s="1" t="str">
        <f>"03607230376"</f>
        <v>03607230376</v>
      </c>
      <c r="I3344" s="1" t="s">
        <v>6727</v>
      </c>
      <c r="J3344" s="1" t="s">
        <v>6725</v>
      </c>
      <c r="K3344" s="1" t="s">
        <v>53</v>
      </c>
      <c r="AJ3344" s="2">
        <v>44986</v>
      </c>
    </row>
    <row r="3345" spans="1:36">
      <c r="A3345" s="1" t="str">
        <f t="shared" si="78"/>
        <v>95555999BE</v>
      </c>
      <c r="B3345" s="1" t="str">
        <f t="shared" si="77"/>
        <v>02406911202</v>
      </c>
      <c r="C3345" s="1" t="s">
        <v>13</v>
      </c>
      <c r="D3345" s="1" t="s">
        <v>37</v>
      </c>
      <c r="E3345" s="1" t="s">
        <v>6723</v>
      </c>
      <c r="F3345" s="1" t="s">
        <v>39</v>
      </c>
      <c r="G3345" s="1" t="str">
        <f>"03043241201"</f>
        <v>03043241201</v>
      </c>
      <c r="I3345" s="1" t="s">
        <v>1805</v>
      </c>
      <c r="J3345" s="1" t="s">
        <v>6725</v>
      </c>
      <c r="K3345" s="1" t="s">
        <v>51</v>
      </c>
      <c r="AJ3345" s="2">
        <v>44986</v>
      </c>
    </row>
    <row r="3346" spans="1:36">
      <c r="A3346" s="1" t="str">
        <f t="shared" si="78"/>
        <v>95555999BE</v>
      </c>
      <c r="B3346" s="1" t="str">
        <f t="shared" si="77"/>
        <v>02406911202</v>
      </c>
      <c r="C3346" s="1" t="s">
        <v>13</v>
      </c>
      <c r="D3346" s="1" t="s">
        <v>37</v>
      </c>
      <c r="E3346" s="1" t="s">
        <v>6723</v>
      </c>
      <c r="F3346" s="1" t="s">
        <v>39</v>
      </c>
      <c r="G3346" s="1" t="str">
        <f>"00641731203"</f>
        <v>00641731203</v>
      </c>
      <c r="I3346" s="1" t="s">
        <v>6728</v>
      </c>
      <c r="J3346" s="1" t="s">
        <v>6725</v>
      </c>
      <c r="K3346" s="1" t="s">
        <v>53</v>
      </c>
      <c r="AJ3346" s="2">
        <v>44986</v>
      </c>
    </row>
    <row r="3347" spans="1:36">
      <c r="A3347" s="1" t="str">
        <f t="shared" si="78"/>
        <v>95555999BE</v>
      </c>
      <c r="B3347" s="1" t="str">
        <f t="shared" si="77"/>
        <v>02406911202</v>
      </c>
      <c r="C3347" s="1" t="s">
        <v>13</v>
      </c>
      <c r="D3347" s="1" t="s">
        <v>37</v>
      </c>
      <c r="E3347" s="1" t="s">
        <v>6723</v>
      </c>
      <c r="F3347" s="1" t="s">
        <v>39</v>
      </c>
      <c r="I3347" s="1" t="s">
        <v>6725</v>
      </c>
      <c r="L3347" s="1" t="s">
        <v>44</v>
      </c>
      <c r="M3347" s="1" t="s">
        <v>6729</v>
      </c>
      <c r="AG3347" s="1" t="s">
        <v>6730</v>
      </c>
      <c r="AH3347" s="2">
        <v>44986</v>
      </c>
      <c r="AI3347" s="2">
        <v>45351</v>
      </c>
      <c r="AJ3347" s="2">
        <v>44986</v>
      </c>
    </row>
    <row r="3348" spans="1:36">
      <c r="A3348" s="1" t="str">
        <f>"974879936F"</f>
        <v>974879936F</v>
      </c>
      <c r="B3348" s="1" t="str">
        <f t="shared" si="77"/>
        <v>02406911202</v>
      </c>
      <c r="C3348" s="1" t="s">
        <v>13</v>
      </c>
      <c r="D3348" s="1" t="s">
        <v>37</v>
      </c>
      <c r="E3348" s="1" t="s">
        <v>6731</v>
      </c>
      <c r="F3348" s="1" t="s">
        <v>39</v>
      </c>
      <c r="G3348" s="1" t="str">
        <f>"80063930376"</f>
        <v>80063930376</v>
      </c>
      <c r="I3348" s="1" t="s">
        <v>6732</v>
      </c>
      <c r="J3348" s="1" t="s">
        <v>6733</v>
      </c>
      <c r="K3348" s="1" t="s">
        <v>53</v>
      </c>
      <c r="AJ3348" s="2">
        <v>45047</v>
      </c>
    </row>
    <row r="3349" spans="1:36">
      <c r="A3349" s="1" t="str">
        <f>"974879936F"</f>
        <v>974879936F</v>
      </c>
      <c r="B3349" s="1" t="str">
        <f t="shared" si="77"/>
        <v>02406911202</v>
      </c>
      <c r="C3349" s="1" t="s">
        <v>13</v>
      </c>
      <c r="D3349" s="1" t="s">
        <v>37</v>
      </c>
      <c r="E3349" s="1" t="s">
        <v>6731</v>
      </c>
      <c r="F3349" s="1" t="s">
        <v>39</v>
      </c>
      <c r="G3349" s="1" t="str">
        <f>"03699741207"</f>
        <v>03699741207</v>
      </c>
      <c r="I3349" s="1" t="s">
        <v>6423</v>
      </c>
      <c r="J3349" s="1" t="s">
        <v>6733</v>
      </c>
      <c r="K3349" s="1" t="s">
        <v>51</v>
      </c>
      <c r="AJ3349" s="2">
        <v>45047</v>
      </c>
    </row>
    <row r="3350" spans="1:36">
      <c r="A3350" s="1" t="str">
        <f>"974879936F"</f>
        <v>974879936F</v>
      </c>
      <c r="B3350" s="1" t="str">
        <f t="shared" si="77"/>
        <v>02406911202</v>
      </c>
      <c r="C3350" s="1" t="s">
        <v>13</v>
      </c>
      <c r="D3350" s="1" t="s">
        <v>37</v>
      </c>
      <c r="E3350" s="1" t="s">
        <v>6731</v>
      </c>
      <c r="F3350" s="1" t="s">
        <v>39</v>
      </c>
      <c r="G3350" s="1" t="str">
        <f>"02376540379"</f>
        <v>02376540379</v>
      </c>
      <c r="I3350" s="1" t="s">
        <v>6734</v>
      </c>
      <c r="J3350" s="1" t="s">
        <v>6733</v>
      </c>
      <c r="K3350" s="1" t="s">
        <v>53</v>
      </c>
      <c r="AJ3350" s="2">
        <v>45047</v>
      </c>
    </row>
    <row r="3351" spans="1:36">
      <c r="A3351" s="1" t="str">
        <f>"974879936F"</f>
        <v>974879936F</v>
      </c>
      <c r="B3351" s="1" t="str">
        <f t="shared" si="77"/>
        <v>02406911202</v>
      </c>
      <c r="C3351" s="1" t="s">
        <v>13</v>
      </c>
      <c r="D3351" s="1" t="s">
        <v>37</v>
      </c>
      <c r="E3351" s="1" t="s">
        <v>6731</v>
      </c>
      <c r="F3351" s="1" t="s">
        <v>39</v>
      </c>
      <c r="I3351" s="1" t="s">
        <v>6733</v>
      </c>
      <c r="L3351" s="1" t="s">
        <v>44</v>
      </c>
      <c r="M3351" s="1" t="s">
        <v>6735</v>
      </c>
      <c r="AG3351" s="1" t="s">
        <v>6736</v>
      </c>
      <c r="AH3351" s="2">
        <v>45047</v>
      </c>
      <c r="AI3351" s="2">
        <v>45412</v>
      </c>
      <c r="AJ3351" s="2">
        <v>45047</v>
      </c>
    </row>
    <row r="3352" spans="1:36">
      <c r="A3352" s="1" t="str">
        <f>"9569736BF6"</f>
        <v>9569736BF6</v>
      </c>
      <c r="B3352" s="1" t="str">
        <f t="shared" si="77"/>
        <v>02406911202</v>
      </c>
      <c r="C3352" s="1" t="s">
        <v>13</v>
      </c>
      <c r="D3352" s="1" t="s">
        <v>37</v>
      </c>
      <c r="E3352" s="1" t="s">
        <v>6737</v>
      </c>
      <c r="F3352" s="1" t="s">
        <v>99</v>
      </c>
      <c r="G3352" s="1" t="str">
        <f>"97103880585"</f>
        <v>97103880585</v>
      </c>
      <c r="I3352" s="1" t="s">
        <v>100</v>
      </c>
      <c r="J3352" s="1" t="s">
        <v>6738</v>
      </c>
      <c r="K3352" s="1" t="s">
        <v>51</v>
      </c>
      <c r="AJ3352" s="2">
        <v>44927</v>
      </c>
    </row>
    <row r="3353" spans="1:36">
      <c r="A3353" s="1" t="str">
        <f>"9569736BF6"</f>
        <v>9569736BF6</v>
      </c>
      <c r="B3353" s="1" t="str">
        <f t="shared" si="77"/>
        <v>02406911202</v>
      </c>
      <c r="C3353" s="1" t="s">
        <v>13</v>
      </c>
      <c r="D3353" s="1" t="s">
        <v>37</v>
      </c>
      <c r="E3353" s="1" t="s">
        <v>6737</v>
      </c>
      <c r="F3353" s="1" t="s">
        <v>99</v>
      </c>
      <c r="G3353" s="1" t="str">
        <f>"04839740489"</f>
        <v>04839740489</v>
      </c>
      <c r="I3353" s="1" t="s">
        <v>105</v>
      </c>
      <c r="J3353" s="1" t="s">
        <v>6738</v>
      </c>
      <c r="K3353" s="1" t="s">
        <v>53</v>
      </c>
      <c r="AJ3353" s="2">
        <v>44927</v>
      </c>
    </row>
    <row r="3354" spans="1:36">
      <c r="A3354" s="1" t="str">
        <f>"9569736BF6"</f>
        <v>9569736BF6</v>
      </c>
      <c r="B3354" s="1" t="str">
        <f t="shared" si="77"/>
        <v>02406911202</v>
      </c>
      <c r="C3354" s="1" t="s">
        <v>13</v>
      </c>
      <c r="D3354" s="1" t="s">
        <v>37</v>
      </c>
      <c r="E3354" s="1" t="s">
        <v>6737</v>
      </c>
      <c r="F3354" s="1" t="s">
        <v>99</v>
      </c>
      <c r="G3354" s="1" t="str">
        <f>"01114601006"</f>
        <v>01114601006</v>
      </c>
      <c r="I3354" s="1" t="s">
        <v>1665</v>
      </c>
      <c r="J3354" s="1" t="s">
        <v>6738</v>
      </c>
      <c r="K3354" s="1" t="s">
        <v>51</v>
      </c>
      <c r="AJ3354" s="2">
        <v>44927</v>
      </c>
    </row>
    <row r="3355" spans="1:36">
      <c r="A3355" s="1" t="str">
        <f>"9569736BF6"</f>
        <v>9569736BF6</v>
      </c>
      <c r="B3355" s="1" t="str">
        <f t="shared" si="77"/>
        <v>02406911202</v>
      </c>
      <c r="C3355" s="1" t="s">
        <v>13</v>
      </c>
      <c r="D3355" s="1" t="s">
        <v>37</v>
      </c>
      <c r="E3355" s="1" t="s">
        <v>6737</v>
      </c>
      <c r="F3355" s="1" t="s">
        <v>99</v>
      </c>
      <c r="G3355" s="1" t="str">
        <f>"05692591000"</f>
        <v>05692591000</v>
      </c>
      <c r="I3355" s="1" t="s">
        <v>1668</v>
      </c>
      <c r="J3355" s="1" t="s">
        <v>6738</v>
      </c>
      <c r="K3355" s="1" t="s">
        <v>53</v>
      </c>
      <c r="AJ3355" s="2">
        <v>44927</v>
      </c>
    </row>
    <row r="3356" spans="1:36">
      <c r="A3356" s="1" t="str">
        <f>"9569736BF6"</f>
        <v>9569736BF6</v>
      </c>
      <c r="B3356" s="1" t="str">
        <f t="shared" si="77"/>
        <v>02406911202</v>
      </c>
      <c r="C3356" s="1" t="s">
        <v>13</v>
      </c>
      <c r="D3356" s="1" t="s">
        <v>37</v>
      </c>
      <c r="E3356" s="1" t="s">
        <v>6737</v>
      </c>
      <c r="F3356" s="1" t="s">
        <v>99</v>
      </c>
      <c r="I3356" s="1" t="s">
        <v>6738</v>
      </c>
      <c r="L3356" s="1" t="s">
        <v>44</v>
      </c>
      <c r="M3356" s="1" t="s">
        <v>369</v>
      </c>
      <c r="AG3356" s="1" t="s">
        <v>6739</v>
      </c>
      <c r="AH3356" s="2">
        <v>44927</v>
      </c>
      <c r="AI3356" s="2">
        <v>45046</v>
      </c>
      <c r="AJ3356" s="2">
        <v>44927</v>
      </c>
    </row>
    <row r="3357" spans="1:36">
      <c r="A3357" s="1" t="str">
        <f>"9623173D91"</f>
        <v>9623173D91</v>
      </c>
      <c r="B3357" s="1" t="str">
        <f t="shared" si="77"/>
        <v>02406911202</v>
      </c>
      <c r="C3357" s="1" t="s">
        <v>13</v>
      </c>
      <c r="D3357" s="1" t="s">
        <v>37</v>
      </c>
      <c r="E3357" s="1" t="s">
        <v>6740</v>
      </c>
      <c r="F3357" s="1" t="s">
        <v>117</v>
      </c>
      <c r="G3357" s="1" t="str">
        <f>"97103880585"</f>
        <v>97103880585</v>
      </c>
      <c r="I3357" s="1" t="s">
        <v>100</v>
      </c>
      <c r="J3357" s="1" t="s">
        <v>6741</v>
      </c>
      <c r="K3357" s="1" t="s">
        <v>51</v>
      </c>
      <c r="AJ3357" s="2">
        <v>45047</v>
      </c>
    </row>
    <row r="3358" spans="1:36">
      <c r="A3358" s="1" t="str">
        <f>"9623173D91"</f>
        <v>9623173D91</v>
      </c>
      <c r="B3358" s="1" t="str">
        <f t="shared" si="77"/>
        <v>02406911202</v>
      </c>
      <c r="C3358" s="1" t="s">
        <v>13</v>
      </c>
      <c r="D3358" s="1" t="s">
        <v>37</v>
      </c>
      <c r="E3358" s="1" t="s">
        <v>6740</v>
      </c>
      <c r="F3358" s="1" t="s">
        <v>117</v>
      </c>
      <c r="G3358" s="1" t="str">
        <f>"04839740489"</f>
        <v>04839740489</v>
      </c>
      <c r="I3358" s="1" t="s">
        <v>105</v>
      </c>
      <c r="J3358" s="1" t="s">
        <v>6741</v>
      </c>
      <c r="K3358" s="1" t="s">
        <v>53</v>
      </c>
      <c r="AJ3358" s="2">
        <v>45047</v>
      </c>
    </row>
    <row r="3359" spans="1:36">
      <c r="A3359" s="1" t="str">
        <f>"9623173D91"</f>
        <v>9623173D91</v>
      </c>
      <c r="B3359" s="1" t="str">
        <f t="shared" si="77"/>
        <v>02406911202</v>
      </c>
      <c r="C3359" s="1" t="s">
        <v>13</v>
      </c>
      <c r="D3359" s="1" t="s">
        <v>37</v>
      </c>
      <c r="E3359" s="1" t="s">
        <v>6740</v>
      </c>
      <c r="F3359" s="1" t="s">
        <v>117</v>
      </c>
      <c r="G3359" s="1" t="str">
        <f>"01114601006"</f>
        <v>01114601006</v>
      </c>
      <c r="I3359" s="1" t="s">
        <v>1665</v>
      </c>
      <c r="J3359" s="1" t="s">
        <v>6741</v>
      </c>
      <c r="K3359" s="1" t="s">
        <v>51</v>
      </c>
      <c r="AJ3359" s="2">
        <v>45047</v>
      </c>
    </row>
    <row r="3360" spans="1:36">
      <c r="A3360" s="1" t="str">
        <f>"9623173D91"</f>
        <v>9623173D91</v>
      </c>
      <c r="B3360" s="1" t="str">
        <f t="shared" si="77"/>
        <v>02406911202</v>
      </c>
      <c r="C3360" s="1" t="s">
        <v>13</v>
      </c>
      <c r="D3360" s="1" t="s">
        <v>37</v>
      </c>
      <c r="E3360" s="1" t="s">
        <v>6740</v>
      </c>
      <c r="F3360" s="1" t="s">
        <v>117</v>
      </c>
      <c r="G3360" s="1" t="str">
        <f>"05692591000"</f>
        <v>05692591000</v>
      </c>
      <c r="I3360" s="1" t="s">
        <v>1668</v>
      </c>
      <c r="J3360" s="1" t="s">
        <v>6741</v>
      </c>
      <c r="K3360" s="1" t="s">
        <v>53</v>
      </c>
      <c r="AJ3360" s="2">
        <v>45047</v>
      </c>
    </row>
    <row r="3361" spans="1:36">
      <c r="A3361" s="1" t="str">
        <f>"9623173D91"</f>
        <v>9623173D91</v>
      </c>
      <c r="B3361" s="1" t="str">
        <f t="shared" si="77"/>
        <v>02406911202</v>
      </c>
      <c r="C3361" s="1" t="s">
        <v>13</v>
      </c>
      <c r="D3361" s="1" t="s">
        <v>37</v>
      </c>
      <c r="E3361" s="1" t="s">
        <v>6740</v>
      </c>
      <c r="F3361" s="1" t="s">
        <v>117</v>
      </c>
      <c r="I3361" s="1" t="s">
        <v>6741</v>
      </c>
      <c r="L3361" s="1" t="s">
        <v>44</v>
      </c>
      <c r="M3361" s="1" t="s">
        <v>6742</v>
      </c>
      <c r="AG3361" s="1" t="s">
        <v>124</v>
      </c>
      <c r="AH3361" s="2">
        <v>45047</v>
      </c>
      <c r="AI3361" s="2">
        <v>46142</v>
      </c>
      <c r="AJ3361" s="2">
        <v>45047</v>
      </c>
    </row>
    <row r="3362" spans="1:36">
      <c r="A3362" s="1" t="str">
        <f>"957482645F"</f>
        <v>957482645F</v>
      </c>
      <c r="B3362" s="1" t="str">
        <f t="shared" si="77"/>
        <v>02406911202</v>
      </c>
      <c r="C3362" s="1" t="s">
        <v>13</v>
      </c>
      <c r="D3362" s="1" t="s">
        <v>37</v>
      </c>
      <c r="E3362" s="1" t="s">
        <v>6743</v>
      </c>
      <c r="F3362" s="1" t="s">
        <v>99</v>
      </c>
      <c r="G3362" s="1" t="str">
        <f>"97103880585"</f>
        <v>97103880585</v>
      </c>
      <c r="I3362" s="1" t="s">
        <v>100</v>
      </c>
      <c r="J3362" s="1" t="s">
        <v>6738</v>
      </c>
      <c r="K3362" s="1" t="s">
        <v>51</v>
      </c>
      <c r="AJ3362" s="2">
        <v>44927</v>
      </c>
    </row>
    <row r="3363" spans="1:36">
      <c r="A3363" s="1" t="str">
        <f>"957482645F"</f>
        <v>957482645F</v>
      </c>
      <c r="B3363" s="1" t="str">
        <f t="shared" si="77"/>
        <v>02406911202</v>
      </c>
      <c r="C3363" s="1" t="s">
        <v>13</v>
      </c>
      <c r="D3363" s="1" t="s">
        <v>37</v>
      </c>
      <c r="E3363" s="1" t="s">
        <v>6743</v>
      </c>
      <c r="F3363" s="1" t="s">
        <v>99</v>
      </c>
      <c r="G3363" s="1" t="str">
        <f>"04839740489"</f>
        <v>04839740489</v>
      </c>
      <c r="I3363" s="1" t="s">
        <v>105</v>
      </c>
      <c r="J3363" s="1" t="s">
        <v>6738</v>
      </c>
      <c r="K3363" s="1" t="s">
        <v>53</v>
      </c>
      <c r="AJ3363" s="2">
        <v>44927</v>
      </c>
    </row>
    <row r="3364" spans="1:36">
      <c r="A3364" s="1" t="str">
        <f>"957482645F"</f>
        <v>957482645F</v>
      </c>
      <c r="B3364" s="1" t="str">
        <f t="shared" si="77"/>
        <v>02406911202</v>
      </c>
      <c r="C3364" s="1" t="s">
        <v>13</v>
      </c>
      <c r="D3364" s="1" t="s">
        <v>37</v>
      </c>
      <c r="E3364" s="1" t="s">
        <v>6743</v>
      </c>
      <c r="F3364" s="1" t="s">
        <v>99</v>
      </c>
      <c r="G3364" s="1" t="str">
        <f>"01114601006"</f>
        <v>01114601006</v>
      </c>
      <c r="I3364" s="1" t="s">
        <v>1665</v>
      </c>
      <c r="J3364" s="1" t="s">
        <v>6738</v>
      </c>
      <c r="K3364" s="1" t="s">
        <v>51</v>
      </c>
      <c r="AJ3364" s="2">
        <v>44927</v>
      </c>
    </row>
    <row r="3365" spans="1:36">
      <c r="A3365" s="1" t="str">
        <f>"957482645F"</f>
        <v>957482645F</v>
      </c>
      <c r="B3365" s="1" t="str">
        <f t="shared" si="77"/>
        <v>02406911202</v>
      </c>
      <c r="C3365" s="1" t="s">
        <v>13</v>
      </c>
      <c r="D3365" s="1" t="s">
        <v>37</v>
      </c>
      <c r="E3365" s="1" t="s">
        <v>6743</v>
      </c>
      <c r="F3365" s="1" t="s">
        <v>99</v>
      </c>
      <c r="G3365" s="1" t="str">
        <f>"05692591000"</f>
        <v>05692591000</v>
      </c>
      <c r="I3365" s="1" t="s">
        <v>1668</v>
      </c>
      <c r="J3365" s="1" t="s">
        <v>6738</v>
      </c>
      <c r="K3365" s="1" t="s">
        <v>53</v>
      </c>
      <c r="AJ3365" s="2">
        <v>44927</v>
      </c>
    </row>
    <row r="3366" spans="1:36">
      <c r="A3366" s="1" t="str">
        <f>"957482645F"</f>
        <v>957482645F</v>
      </c>
      <c r="B3366" s="1" t="str">
        <f t="shared" si="77"/>
        <v>02406911202</v>
      </c>
      <c r="C3366" s="1" t="s">
        <v>13</v>
      </c>
      <c r="D3366" s="1" t="s">
        <v>37</v>
      </c>
      <c r="E3366" s="1" t="s">
        <v>6743</v>
      </c>
      <c r="F3366" s="1" t="s">
        <v>99</v>
      </c>
      <c r="I3366" s="1" t="s">
        <v>6738</v>
      </c>
      <c r="L3366" s="1" t="s">
        <v>44</v>
      </c>
      <c r="M3366" s="1" t="s">
        <v>4087</v>
      </c>
      <c r="AG3366" s="1" t="s">
        <v>6744</v>
      </c>
      <c r="AH3366" s="2">
        <v>44927</v>
      </c>
      <c r="AI3366" s="2">
        <v>45016</v>
      </c>
      <c r="AJ3366" s="2">
        <v>44927</v>
      </c>
    </row>
    <row r="3367" spans="1:36">
      <c r="A3367" s="1" t="str">
        <f>"9880331313"</f>
        <v>9880331313</v>
      </c>
      <c r="B3367" s="1" t="str">
        <f t="shared" si="77"/>
        <v>02406911202</v>
      </c>
      <c r="C3367" s="1" t="s">
        <v>13</v>
      </c>
      <c r="D3367" s="1" t="s">
        <v>37</v>
      </c>
      <c r="E3367" s="1" t="s">
        <v>6745</v>
      </c>
      <c r="F3367" s="1" t="s">
        <v>117</v>
      </c>
      <c r="G3367" s="1" t="str">
        <f>"00667690044"</f>
        <v>00667690044</v>
      </c>
      <c r="I3367" s="1" t="s">
        <v>871</v>
      </c>
      <c r="J3367" s="1" t="s">
        <v>6746</v>
      </c>
      <c r="K3367" s="1" t="s">
        <v>53</v>
      </c>
      <c r="AJ3367" s="2">
        <v>45092</v>
      </c>
    </row>
    <row r="3368" spans="1:36">
      <c r="A3368" s="1" t="str">
        <f>"9880331313"</f>
        <v>9880331313</v>
      </c>
      <c r="B3368" s="1" t="str">
        <f t="shared" si="77"/>
        <v>02406911202</v>
      </c>
      <c r="C3368" s="1" t="s">
        <v>13</v>
      </c>
      <c r="D3368" s="1" t="s">
        <v>37</v>
      </c>
      <c r="E3368" s="1" t="s">
        <v>6745</v>
      </c>
      <c r="F3368" s="1" t="s">
        <v>117</v>
      </c>
      <c r="G3368" s="1" t="str">
        <f>"04303410726"</f>
        <v>04303410726</v>
      </c>
      <c r="I3368" s="1" t="s">
        <v>869</v>
      </c>
      <c r="J3368" s="1" t="s">
        <v>6746</v>
      </c>
      <c r="K3368" s="1" t="s">
        <v>51</v>
      </c>
      <c r="AJ3368" s="2">
        <v>45092</v>
      </c>
    </row>
    <row r="3369" spans="1:36">
      <c r="A3369" s="1" t="str">
        <f>"9880331313"</f>
        <v>9880331313</v>
      </c>
      <c r="B3369" s="1" t="str">
        <f t="shared" si="77"/>
        <v>02406911202</v>
      </c>
      <c r="C3369" s="1" t="s">
        <v>13</v>
      </c>
      <c r="D3369" s="1" t="s">
        <v>37</v>
      </c>
      <c r="E3369" s="1" t="s">
        <v>6745</v>
      </c>
      <c r="F3369" s="1" t="s">
        <v>117</v>
      </c>
      <c r="I3369" s="1" t="s">
        <v>6746</v>
      </c>
      <c r="L3369" s="1" t="s">
        <v>44</v>
      </c>
      <c r="M3369" s="1" t="s">
        <v>873</v>
      </c>
      <c r="AG3369" s="1" t="s">
        <v>6747</v>
      </c>
      <c r="AH3369" s="2">
        <v>45092</v>
      </c>
      <c r="AI3369" s="2">
        <v>45274</v>
      </c>
      <c r="AJ3369" s="2">
        <v>45092</v>
      </c>
    </row>
    <row r="3370" spans="1:36">
      <c r="A3370" s="1" t="str">
        <f>"Z143A11A71"</f>
        <v>Z143A11A71</v>
      </c>
      <c r="B3370" s="1" t="str">
        <f t="shared" si="77"/>
        <v>02406911202</v>
      </c>
      <c r="C3370" s="1" t="s">
        <v>13</v>
      </c>
      <c r="D3370" s="1" t="s">
        <v>1253</v>
      </c>
      <c r="E3370" s="1" t="s">
        <v>1254</v>
      </c>
      <c r="F3370" s="1" t="s">
        <v>49</v>
      </c>
      <c r="G3370" s="1" t="str">
        <f>"01542210222"</f>
        <v>01542210222</v>
      </c>
      <c r="I3370" s="1" t="s">
        <v>1891</v>
      </c>
      <c r="L3370" s="1" t="s">
        <v>44</v>
      </c>
      <c r="M3370" s="1" t="s">
        <v>1255</v>
      </c>
      <c r="AG3370" s="1" t="s">
        <v>6748</v>
      </c>
      <c r="AH3370" s="2">
        <v>44979</v>
      </c>
      <c r="AI3370" s="2">
        <v>45291</v>
      </c>
      <c r="AJ3370" s="2">
        <v>44979</v>
      </c>
    </row>
    <row r="3371" spans="1:36">
      <c r="A3371" s="1" t="str">
        <f>"Z3D39D7A34"</f>
        <v>Z3D39D7A34</v>
      </c>
      <c r="B3371" s="1" t="str">
        <f t="shared" si="77"/>
        <v>02406911202</v>
      </c>
      <c r="C3371" s="1" t="s">
        <v>13</v>
      </c>
      <c r="D3371" s="1" t="s">
        <v>1253</v>
      </c>
      <c r="E3371" s="1" t="s">
        <v>1260</v>
      </c>
      <c r="F3371" s="1" t="s">
        <v>49</v>
      </c>
      <c r="G3371" s="1" t="str">
        <f>"04289840268"</f>
        <v>04289840268</v>
      </c>
      <c r="I3371" s="1" t="s">
        <v>1296</v>
      </c>
      <c r="L3371" s="1" t="s">
        <v>44</v>
      </c>
      <c r="M3371" s="1" t="s">
        <v>1255</v>
      </c>
      <c r="AG3371" s="1" t="s">
        <v>6749</v>
      </c>
      <c r="AH3371" s="2">
        <v>44964</v>
      </c>
      <c r="AI3371" s="2">
        <v>45291</v>
      </c>
      <c r="AJ3371" s="2">
        <v>44964</v>
      </c>
    </row>
    <row r="3372" spans="1:36">
      <c r="A3372" s="1" t="str">
        <f>"9792541479"</f>
        <v>9792541479</v>
      </c>
      <c r="B3372" s="1" t="str">
        <f t="shared" si="77"/>
        <v>02406911202</v>
      </c>
      <c r="C3372" s="1" t="s">
        <v>13</v>
      </c>
      <c r="D3372" s="1" t="s">
        <v>37</v>
      </c>
      <c r="E3372" s="1" t="s">
        <v>4171</v>
      </c>
      <c r="F3372" s="1" t="s">
        <v>117</v>
      </c>
      <c r="G3372" s="1" t="str">
        <f>"11206730159"</f>
        <v>11206730159</v>
      </c>
      <c r="I3372" s="1" t="s">
        <v>192</v>
      </c>
      <c r="L3372" s="1" t="s">
        <v>44</v>
      </c>
      <c r="M3372" s="1" t="s">
        <v>537</v>
      </c>
      <c r="AG3372" s="1" t="s">
        <v>6750</v>
      </c>
      <c r="AH3372" s="2">
        <v>45046</v>
      </c>
      <c r="AI3372" s="2">
        <v>45054</v>
      </c>
      <c r="AJ3372" s="2">
        <v>45054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GareContrattiAppaltiEconomie_23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Debeleac</dc:creator>
  <cp:lastModifiedBy>Utente</cp:lastModifiedBy>
  <dcterms:created xsi:type="dcterms:W3CDTF">2023-10-13T06:28:43Z</dcterms:created>
  <dcterms:modified xsi:type="dcterms:W3CDTF">2023-10-16T11:22:40Z</dcterms:modified>
</cp:coreProperties>
</file>